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tri\Documents\2021 Boating Atlantic\Luxury Tax\"/>
    </mc:Choice>
  </mc:AlternateContent>
  <xr:revisionPtr revIDLastSave="0" documentId="13_ncr:1_{B3611011-3DB5-48C0-83E3-1E80955C3ED2}" xr6:coauthVersionLast="46" xr6:coauthVersionMax="46" xr10:uidLastSave="{00000000-0000-0000-0000-000000000000}"/>
  <bookViews>
    <workbookView xWindow="-120" yWindow="-120" windowWidth="20730" windowHeight="11160" activeTab="4" xr2:uid="{C41B0691-E75E-49FA-A4CC-9C01AA0F2FB2}"/>
  </bookViews>
  <sheets>
    <sheet name="Dufour 430" sheetId="5" r:id="rId1"/>
    <sheet name="280 Outrage" sheetId="1" r:id="rId2"/>
    <sheet name="32 SeaRay" sheetId="2" r:id="rId3"/>
    <sheet name="50 Azimut" sheetId="3" r:id="rId4"/>
    <sheet name="Data summary" sheetId="4" r:id="rId5"/>
    <sheet name="Actual Case Studies" sheetId="7" r:id="rId6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7" i="7" l="1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06" i="7"/>
  <c r="F106" i="7"/>
  <c r="G106" i="7" s="1"/>
  <c r="F109" i="7"/>
  <c r="G109" i="7" s="1"/>
  <c r="F112" i="7"/>
  <c r="G112" i="7" s="1"/>
  <c r="F116" i="7"/>
  <c r="G116" i="7" s="1"/>
  <c r="F124" i="7"/>
  <c r="G124" i="7" s="1"/>
  <c r="F128" i="7"/>
  <c r="G128" i="7" s="1"/>
  <c r="F132" i="7"/>
  <c r="G132" i="7" s="1"/>
  <c r="F136" i="7"/>
  <c r="G136" i="7" s="1"/>
  <c r="D18" i="3"/>
  <c r="E18" i="3"/>
  <c r="F18" i="3"/>
  <c r="C18" i="3"/>
  <c r="D6" i="3"/>
  <c r="E6" i="3"/>
  <c r="F6" i="3"/>
  <c r="C6" i="3"/>
  <c r="D18" i="2"/>
  <c r="E18" i="2"/>
  <c r="F18" i="2"/>
  <c r="C18" i="2"/>
  <c r="D6" i="2"/>
  <c r="E6" i="2"/>
  <c r="F6" i="2"/>
  <c r="C6" i="2"/>
  <c r="D18" i="1"/>
  <c r="E18" i="1"/>
  <c r="F18" i="1"/>
  <c r="C18" i="1"/>
  <c r="D6" i="1"/>
  <c r="E6" i="1"/>
  <c r="F6" i="1"/>
  <c r="C6" i="1"/>
  <c r="D18" i="5"/>
  <c r="E18" i="5"/>
  <c r="F18" i="5"/>
  <c r="C18" i="5"/>
  <c r="D6" i="5"/>
  <c r="E6" i="5"/>
  <c r="F6" i="5"/>
  <c r="C6" i="5"/>
  <c r="C8" i="4"/>
  <c r="C10" i="4" s="1"/>
  <c r="C141" i="7"/>
  <c r="B141" i="7"/>
  <c r="F140" i="7"/>
  <c r="G140" i="7" s="1"/>
  <c r="C140" i="7"/>
  <c r="B140" i="7"/>
  <c r="C139" i="7"/>
  <c r="B139" i="7"/>
  <c r="C138" i="7"/>
  <c r="B138" i="7"/>
  <c r="C137" i="7"/>
  <c r="F137" i="7" s="1"/>
  <c r="G137" i="7" s="1"/>
  <c r="B137" i="7"/>
  <c r="C136" i="7"/>
  <c r="B136" i="7"/>
  <c r="C135" i="7"/>
  <c r="B135" i="7"/>
  <c r="C134" i="7"/>
  <c r="F134" i="7" s="1"/>
  <c r="G134" i="7" s="1"/>
  <c r="B134" i="7"/>
  <c r="C133" i="7"/>
  <c r="B133" i="7"/>
  <c r="C132" i="7"/>
  <c r="B132" i="7"/>
  <c r="C131" i="7"/>
  <c r="B131" i="7"/>
  <c r="C130" i="7"/>
  <c r="F130" i="7" s="1"/>
  <c r="G130" i="7" s="1"/>
  <c r="B130" i="7"/>
  <c r="C129" i="7"/>
  <c r="F129" i="7" s="1"/>
  <c r="G129" i="7" s="1"/>
  <c r="B129" i="7"/>
  <c r="C128" i="7"/>
  <c r="B128" i="7"/>
  <c r="C127" i="7"/>
  <c r="B127" i="7"/>
  <c r="C126" i="7"/>
  <c r="F126" i="7" s="1"/>
  <c r="G126" i="7" s="1"/>
  <c r="B126" i="7"/>
  <c r="C125" i="7"/>
  <c r="F125" i="7" s="1"/>
  <c r="G125" i="7" s="1"/>
  <c r="B125" i="7"/>
  <c r="C124" i="7"/>
  <c r="B124" i="7"/>
  <c r="C123" i="7"/>
  <c r="B123" i="7"/>
  <c r="C122" i="7"/>
  <c r="B122" i="7"/>
  <c r="C121" i="7"/>
  <c r="F121" i="7" s="1"/>
  <c r="G121" i="7" s="1"/>
  <c r="B121" i="7"/>
  <c r="F120" i="7"/>
  <c r="G120" i="7" s="1"/>
  <c r="C120" i="7"/>
  <c r="B120" i="7"/>
  <c r="C119" i="7"/>
  <c r="B119" i="7"/>
  <c r="C118" i="7"/>
  <c r="F118" i="7" s="1"/>
  <c r="G118" i="7" s="1"/>
  <c r="B118" i="7"/>
  <c r="C117" i="7"/>
  <c r="B117" i="7"/>
  <c r="C116" i="7"/>
  <c r="B116" i="7"/>
  <c r="C115" i="7"/>
  <c r="B115" i="7"/>
  <c r="C114" i="7"/>
  <c r="B114" i="7"/>
  <c r="C113" i="7"/>
  <c r="F113" i="7" s="1"/>
  <c r="G113" i="7" s="1"/>
  <c r="B113" i="7"/>
  <c r="C112" i="7"/>
  <c r="B112" i="7"/>
  <c r="C111" i="7"/>
  <c r="F111" i="7" s="1"/>
  <c r="G111" i="7" s="1"/>
  <c r="B111" i="7"/>
  <c r="C110" i="7"/>
  <c r="B110" i="7"/>
  <c r="F110" i="7" s="1"/>
  <c r="G110" i="7" s="1"/>
  <c r="C109" i="7"/>
  <c r="B109" i="7"/>
  <c r="C108" i="7"/>
  <c r="B108" i="7"/>
  <c r="C107" i="7"/>
  <c r="B107" i="7"/>
  <c r="B106" i="7"/>
  <c r="I99" i="7"/>
  <c r="I97" i="7"/>
  <c r="D97" i="7"/>
  <c r="D96" i="7"/>
  <c r="D95" i="7"/>
  <c r="D94" i="7"/>
  <c r="C93" i="7"/>
  <c r="H92" i="7"/>
  <c r="I96" i="7" s="1"/>
  <c r="G92" i="7"/>
  <c r="F92" i="7"/>
  <c r="I92" i="7" s="1"/>
  <c r="J92" i="7" s="1"/>
  <c r="C92" i="7"/>
  <c r="D92" i="7" s="1"/>
  <c r="D98" i="7" s="1"/>
  <c r="D100" i="7" s="1"/>
  <c r="I100" i="7" s="1"/>
  <c r="D91" i="7"/>
  <c r="C88" i="7"/>
  <c r="Q87" i="7"/>
  <c r="P87" i="7"/>
  <c r="N87" i="7"/>
  <c r="L87" i="7"/>
  <c r="J87" i="7"/>
  <c r="H87" i="7"/>
  <c r="F87" i="7"/>
  <c r="R87" i="7" s="1"/>
  <c r="D87" i="7"/>
  <c r="Q86" i="7"/>
  <c r="P86" i="7"/>
  <c r="N86" i="7"/>
  <c r="L86" i="7"/>
  <c r="L88" i="7" s="1"/>
  <c r="K86" i="7"/>
  <c r="J86" i="7"/>
  <c r="H86" i="7"/>
  <c r="F86" i="7"/>
  <c r="F88" i="7" s="1"/>
  <c r="D86" i="7"/>
  <c r="D88" i="7" s="1"/>
  <c r="P85" i="7"/>
  <c r="P88" i="7" s="1"/>
  <c r="M85" i="7"/>
  <c r="Q85" i="7" s="1"/>
  <c r="L85" i="7"/>
  <c r="J85" i="7"/>
  <c r="J88" i="7" s="1"/>
  <c r="H85" i="7"/>
  <c r="H88" i="7" s="1"/>
  <c r="F85" i="7"/>
  <c r="D85" i="7"/>
  <c r="I73" i="7"/>
  <c r="I71" i="7"/>
  <c r="D71" i="7"/>
  <c r="D70" i="7"/>
  <c r="I69" i="7"/>
  <c r="D69" i="7"/>
  <c r="D68" i="7"/>
  <c r="C67" i="7"/>
  <c r="G66" i="7"/>
  <c r="F66" i="7"/>
  <c r="C66" i="7"/>
  <c r="C72" i="7" s="1"/>
  <c r="C74" i="7" s="1"/>
  <c r="D65" i="7"/>
  <c r="J62" i="7"/>
  <c r="C62" i="7"/>
  <c r="Q61" i="7"/>
  <c r="P61" i="7"/>
  <c r="N61" i="7"/>
  <c r="L61" i="7"/>
  <c r="J61" i="7"/>
  <c r="H61" i="7"/>
  <c r="F61" i="7"/>
  <c r="R61" i="7" s="1"/>
  <c r="D61" i="7"/>
  <c r="P60" i="7"/>
  <c r="N60" i="7"/>
  <c r="L60" i="7"/>
  <c r="K60" i="7"/>
  <c r="Q60" i="7" s="1"/>
  <c r="J60" i="7"/>
  <c r="H60" i="7"/>
  <c r="F60" i="7"/>
  <c r="R60" i="7" s="1"/>
  <c r="D60" i="7"/>
  <c r="P59" i="7"/>
  <c r="P62" i="7" s="1"/>
  <c r="M59" i="7"/>
  <c r="N59" i="7" s="1"/>
  <c r="L59" i="7"/>
  <c r="L62" i="7" s="1"/>
  <c r="J59" i="7"/>
  <c r="I59" i="7"/>
  <c r="H59" i="7"/>
  <c r="H62" i="7" s="1"/>
  <c r="F59" i="7"/>
  <c r="D59" i="7"/>
  <c r="D62" i="7" s="1"/>
  <c r="D46" i="7"/>
  <c r="D45" i="7"/>
  <c r="D44" i="7"/>
  <c r="D43" i="7"/>
  <c r="C42" i="7"/>
  <c r="C47" i="7" s="1"/>
  <c r="C49" i="7" s="1"/>
  <c r="I41" i="7"/>
  <c r="J41" i="7" s="1"/>
  <c r="H41" i="7"/>
  <c r="I45" i="7" s="1"/>
  <c r="G41" i="7"/>
  <c r="F41" i="7"/>
  <c r="I44" i="7" s="1"/>
  <c r="D41" i="7"/>
  <c r="C41" i="7"/>
  <c r="D40" i="7"/>
  <c r="D47" i="7" s="1"/>
  <c r="D49" i="7" s="1"/>
  <c r="I49" i="7" s="1"/>
  <c r="P37" i="7"/>
  <c r="F37" i="7"/>
  <c r="C37" i="7"/>
  <c r="R36" i="7"/>
  <c r="Q36" i="7"/>
  <c r="P36" i="7"/>
  <c r="N36" i="7"/>
  <c r="L36" i="7"/>
  <c r="J36" i="7"/>
  <c r="H36" i="7"/>
  <c r="F36" i="7"/>
  <c r="D36" i="7"/>
  <c r="P35" i="7"/>
  <c r="N35" i="7"/>
  <c r="K35" i="7"/>
  <c r="Q35" i="7" s="1"/>
  <c r="J35" i="7"/>
  <c r="H35" i="7"/>
  <c r="H37" i="7" s="1"/>
  <c r="F35" i="7"/>
  <c r="D35" i="7"/>
  <c r="I48" i="7" s="1"/>
  <c r="Q34" i="7"/>
  <c r="P34" i="7"/>
  <c r="N34" i="7"/>
  <c r="N37" i="7" s="1"/>
  <c r="M34" i="7"/>
  <c r="L34" i="7"/>
  <c r="J34" i="7"/>
  <c r="J37" i="7" s="1"/>
  <c r="H34" i="7"/>
  <c r="F34" i="7"/>
  <c r="R34" i="7" s="1"/>
  <c r="D34" i="7"/>
  <c r="I46" i="7" s="1"/>
  <c r="C23" i="7"/>
  <c r="C21" i="7"/>
  <c r="D20" i="7"/>
  <c r="D19" i="7"/>
  <c r="D18" i="7"/>
  <c r="D17" i="7"/>
  <c r="C16" i="7"/>
  <c r="G15" i="7"/>
  <c r="H15" i="7" s="1"/>
  <c r="I19" i="7" s="1"/>
  <c r="F15" i="7"/>
  <c r="D15" i="7"/>
  <c r="C15" i="7"/>
  <c r="D14" i="7"/>
  <c r="D21" i="7" s="1"/>
  <c r="D23" i="7" s="1"/>
  <c r="I23" i="7" s="1"/>
  <c r="C11" i="7"/>
  <c r="Q10" i="7"/>
  <c r="P10" i="7"/>
  <c r="P11" i="7" s="1"/>
  <c r="N10" i="7"/>
  <c r="L10" i="7"/>
  <c r="J10" i="7"/>
  <c r="H10" i="7"/>
  <c r="R10" i="7" s="1"/>
  <c r="F10" i="7"/>
  <c r="D10" i="7"/>
  <c r="Q9" i="7"/>
  <c r="P9" i="7"/>
  <c r="N9" i="7"/>
  <c r="K9" i="7"/>
  <c r="L9" i="7" s="1"/>
  <c r="L11" i="7" s="1"/>
  <c r="J9" i="7"/>
  <c r="H9" i="7"/>
  <c r="H11" i="7" s="1"/>
  <c r="F9" i="7"/>
  <c r="R9" i="7" s="1"/>
  <c r="D9" i="7"/>
  <c r="I22" i="7" s="1"/>
  <c r="P8" i="7"/>
  <c r="N8" i="7"/>
  <c r="N11" i="7" s="1"/>
  <c r="M8" i="7"/>
  <c r="L8" i="7"/>
  <c r="I8" i="7"/>
  <c r="J8" i="7" s="1"/>
  <c r="J11" i="7" s="1"/>
  <c r="H8" i="7"/>
  <c r="F8" i="7"/>
  <c r="R8" i="7" s="1"/>
  <c r="R11" i="7" s="1"/>
  <c r="D8" i="7"/>
  <c r="I20" i="7" s="1"/>
  <c r="F133" i="7" l="1"/>
  <c r="G133" i="7" s="1"/>
  <c r="F141" i="7"/>
  <c r="G141" i="7" s="1"/>
  <c r="F117" i="7"/>
  <c r="G117" i="7" s="1"/>
  <c r="F107" i="7"/>
  <c r="G107" i="7" s="1"/>
  <c r="F138" i="7"/>
  <c r="G138" i="7" s="1"/>
  <c r="F114" i="7"/>
  <c r="G114" i="7" s="1"/>
  <c r="F122" i="7"/>
  <c r="G122" i="7" s="1"/>
  <c r="L37" i="7"/>
  <c r="N62" i="7"/>
  <c r="R59" i="7"/>
  <c r="R62" i="7" s="1"/>
  <c r="I47" i="7"/>
  <c r="I50" i="7" s="1"/>
  <c r="R85" i="7"/>
  <c r="R88" i="7" s="1"/>
  <c r="F108" i="7"/>
  <c r="G108" i="7" s="1"/>
  <c r="I66" i="7"/>
  <c r="J66" i="7" s="1"/>
  <c r="F131" i="7"/>
  <c r="G131" i="7" s="1"/>
  <c r="I15" i="7"/>
  <c r="J15" i="7" s="1"/>
  <c r="D37" i="7"/>
  <c r="F62" i="7"/>
  <c r="I95" i="7"/>
  <c r="I98" i="7" s="1"/>
  <c r="I101" i="7" s="1"/>
  <c r="F119" i="7"/>
  <c r="G119" i="7" s="1"/>
  <c r="F127" i="7"/>
  <c r="G127" i="7" s="1"/>
  <c r="F135" i="7"/>
  <c r="G135" i="7" s="1"/>
  <c r="L35" i="7"/>
  <c r="R35" i="7" s="1"/>
  <c r="R37" i="7" s="1"/>
  <c r="Q59" i="7"/>
  <c r="D66" i="7"/>
  <c r="D72" i="7" s="1"/>
  <c r="D74" i="7" s="1"/>
  <c r="I74" i="7" s="1"/>
  <c r="D11" i="7"/>
  <c r="R86" i="7"/>
  <c r="F11" i="7"/>
  <c r="F115" i="7"/>
  <c r="G115" i="7" s="1"/>
  <c r="F123" i="7"/>
  <c r="G123" i="7" s="1"/>
  <c r="F139" i="7"/>
  <c r="G139" i="7" s="1"/>
  <c r="Q8" i="7"/>
  <c r="H66" i="7"/>
  <c r="I70" i="7" s="1"/>
  <c r="I72" i="7" s="1"/>
  <c r="I75" i="7" s="1"/>
  <c r="I18" i="7"/>
  <c r="I21" i="7" s="1"/>
  <c r="I24" i="7" s="1"/>
  <c r="N85" i="7"/>
  <c r="N88" i="7" s="1"/>
  <c r="C98" i="7"/>
  <c r="C100" i="7" s="1"/>
  <c r="D19" i="5" l="1"/>
  <c r="E19" i="5"/>
  <c r="F19" i="5"/>
  <c r="C19" i="5"/>
  <c r="F17" i="5"/>
  <c r="E17" i="5"/>
  <c r="D17" i="5"/>
  <c r="C17" i="5"/>
  <c r="G16" i="5"/>
  <c r="G15" i="5"/>
  <c r="G14" i="5"/>
  <c r="G13" i="5"/>
  <c r="G12" i="5"/>
  <c r="G11" i="5"/>
  <c r="G10" i="5"/>
  <c r="G9" i="5"/>
  <c r="G19" i="5" l="1"/>
  <c r="G17" i="5"/>
  <c r="G6" i="5"/>
  <c r="F19" i="1"/>
  <c r="E19" i="1"/>
  <c r="D19" i="1"/>
  <c r="C19" i="1"/>
  <c r="F19" i="2"/>
  <c r="E19" i="2"/>
  <c r="D19" i="2"/>
  <c r="C19" i="2"/>
  <c r="D19" i="3"/>
  <c r="E19" i="3"/>
  <c r="F19" i="3"/>
  <c r="C19" i="3"/>
  <c r="G17" i="3"/>
  <c r="G16" i="3"/>
  <c r="G15" i="3"/>
  <c r="G14" i="3"/>
  <c r="G13" i="3"/>
  <c r="G12" i="3"/>
  <c r="G11" i="3"/>
  <c r="G10" i="3"/>
  <c r="G9" i="3"/>
  <c r="G17" i="2"/>
  <c r="G16" i="2"/>
  <c r="G15" i="2"/>
  <c r="G14" i="2"/>
  <c r="G13" i="2"/>
  <c r="G12" i="2"/>
  <c r="G11" i="2"/>
  <c r="G10" i="2"/>
  <c r="G9" i="2"/>
  <c r="G10" i="1"/>
  <c r="G11" i="1"/>
  <c r="G12" i="1"/>
  <c r="G13" i="1"/>
  <c r="G14" i="1"/>
  <c r="G15" i="1"/>
  <c r="G16" i="1"/>
  <c r="G17" i="1"/>
  <c r="G9" i="1"/>
  <c r="F8" i="4"/>
  <c r="F10" i="4" s="1"/>
  <c r="E8" i="4"/>
  <c r="E10" i="4" s="1"/>
  <c r="D8" i="4"/>
  <c r="D10" i="4" s="1"/>
  <c r="F17" i="3"/>
  <c r="E17" i="3"/>
  <c r="D17" i="3"/>
  <c r="C17" i="3"/>
  <c r="G6" i="2"/>
  <c r="D17" i="2"/>
  <c r="E17" i="2"/>
  <c r="F17" i="2"/>
  <c r="C17" i="2"/>
  <c r="F17" i="1"/>
  <c r="E17" i="1"/>
  <c r="D17" i="1"/>
  <c r="C17" i="1"/>
  <c r="G20" i="5" l="1"/>
  <c r="G22" i="5" s="1"/>
  <c r="G6" i="3"/>
  <c r="G19" i="2"/>
  <c r="G20" i="2" s="1"/>
  <c r="G22" i="2" s="1"/>
  <c r="G19" i="1"/>
  <c r="G6" i="1"/>
  <c r="G19" i="3"/>
  <c r="G20" i="3" l="1"/>
  <c r="G22" i="3" s="1"/>
  <c r="G20" i="1"/>
  <c r="G22" i="1" s="1"/>
</calcChain>
</file>

<file path=xl/sharedStrings.xml><?xml version="1.0" encoding="utf-8"?>
<sst xmlns="http://schemas.openxmlformats.org/spreadsheetml/2006/main" count="370" uniqueCount="105">
  <si>
    <t>Economic impact of a recreational boat</t>
  </si>
  <si>
    <t>Model - Dufour 430</t>
  </si>
  <si>
    <t>Original Purchase</t>
  </si>
  <si>
    <t>Resale # 1 @ Year 5</t>
  </si>
  <si>
    <t>Resale # 2 @ Year 10</t>
  </si>
  <si>
    <t>Resale # 3 @ Year 15</t>
  </si>
  <si>
    <t>Retail Value</t>
  </si>
  <si>
    <t>Annual economic impact</t>
  </si>
  <si>
    <t>Mooring</t>
  </si>
  <si>
    <t xml:space="preserve">Fuel </t>
  </si>
  <si>
    <t>Parts</t>
  </si>
  <si>
    <t>Service</t>
  </si>
  <si>
    <t>Accessories</t>
  </si>
  <si>
    <t>Storage &amp; Winterizing</t>
  </si>
  <si>
    <t>Insurance</t>
  </si>
  <si>
    <t>Tourism spend (shops, restaurants etc.)</t>
  </si>
  <si>
    <t xml:space="preserve"> </t>
  </si>
  <si>
    <t>TOTAL annual HST per owned 5 yr period</t>
  </si>
  <si>
    <t>Potential HST revenue</t>
  </si>
  <si>
    <t>NET Federal impact</t>
  </si>
  <si>
    <t>Jobs directly affected</t>
  </si>
  <si>
    <t>Sales person</t>
  </si>
  <si>
    <t xml:space="preserve">Service team </t>
  </si>
  <si>
    <t>Cleaning crew</t>
  </si>
  <si>
    <t>Transportation</t>
  </si>
  <si>
    <t>Model - Boston Whaler 280 Outrage</t>
  </si>
  <si>
    <t>Model - SeaRay 32' Sundancer</t>
  </si>
  <si>
    <t>Tourism spend (restuarants etc.)</t>
  </si>
  <si>
    <t>Model - Azimut 50'</t>
  </si>
  <si>
    <t>Delivery Captain</t>
  </si>
  <si>
    <t>Model</t>
  </si>
  <si>
    <t>Dufour 430</t>
  </si>
  <si>
    <t>28' Boston Whaler</t>
  </si>
  <si>
    <t>32' Sea Ray</t>
  </si>
  <si>
    <t>50' Azimut</t>
  </si>
  <si>
    <t>Original Sale Price</t>
  </si>
  <si>
    <t xml:space="preserve">HST 4 sales </t>
  </si>
  <si>
    <t>HST annual spend 20 yrs</t>
  </si>
  <si>
    <t>Total HST revenue</t>
  </si>
  <si>
    <t xml:space="preserve">NEW Luxury Tax </t>
  </si>
  <si>
    <t xml:space="preserve">Net HST position </t>
  </si>
  <si>
    <t>CASE STUDY 1</t>
  </si>
  <si>
    <t>2017 Cruisers Yachts 380 Express</t>
  </si>
  <si>
    <t>Twin Mercury 380 Gas Sterndrive</t>
  </si>
  <si>
    <t>Sales History</t>
  </si>
  <si>
    <t>Direct Employment Income at Time of Sale</t>
  </si>
  <si>
    <t>Upfront Revenue</t>
  </si>
  <si>
    <t>Sales Rep</t>
  </si>
  <si>
    <t>Mechanic - $36/Hr</t>
  </si>
  <si>
    <t>F/G Tech - $34/Hr</t>
  </si>
  <si>
    <t>Detailer - $23/Hr</t>
  </si>
  <si>
    <t>Lot Tech - $24/Hr</t>
  </si>
  <si>
    <t>Captain - $28/Hr</t>
  </si>
  <si>
    <t>Totals</t>
  </si>
  <si>
    <t>Sale Date</t>
  </si>
  <si>
    <t>Sale Price</t>
  </si>
  <si>
    <t>HST</t>
  </si>
  <si>
    <t>Commission Income</t>
  </si>
  <si>
    <t>PDI Hours</t>
  </si>
  <si>
    <t>Wages</t>
  </si>
  <si>
    <t>Training &amp; Delivery Hours</t>
  </si>
  <si>
    <t>Hours</t>
  </si>
  <si>
    <t>Wages &amp; Commission</t>
  </si>
  <si>
    <t>New</t>
  </si>
  <si>
    <t>Resale</t>
  </si>
  <si>
    <t>Annual Recurring Revenue</t>
  </si>
  <si>
    <t>Luxury Tax Calculation (New Sale Only)</t>
  </si>
  <si>
    <t>Slip Rental / Mooring</t>
  </si>
  <si>
    <t>20% &gt;$250K</t>
  </si>
  <si>
    <t>Flat 10%</t>
  </si>
  <si>
    <t>Total Tax</t>
  </si>
  <si>
    <t>Effective Tax Rate</t>
  </si>
  <si>
    <t>Fuel</t>
  </si>
  <si>
    <t>Seasonal Maintenance</t>
  </si>
  <si>
    <t>Impact of Proposed Luxury Tax</t>
  </si>
  <si>
    <t>Repairs</t>
  </si>
  <si>
    <t>Potential Gain on Luxury Tax</t>
  </si>
  <si>
    <t>Parts &amp; Accessories</t>
  </si>
  <si>
    <t>Potential Gain on Increased HST</t>
  </si>
  <si>
    <t>Tourism &amp; Dining</t>
  </si>
  <si>
    <t>Anticipated HST Lost on New Sale</t>
  </si>
  <si>
    <t>Annual Total</t>
  </si>
  <si>
    <t>Gain / (Loss) on Upfront Tax</t>
  </si>
  <si>
    <t>Years in Service</t>
  </si>
  <si>
    <t>Anticipated HST Lost on Resales</t>
  </si>
  <si>
    <t>Lifetime Economic Input</t>
  </si>
  <si>
    <t>Anticipated HST Lost on Annual Rev</t>
  </si>
  <si>
    <t>Net Gain / (Loss) on Tax Revenue</t>
  </si>
  <si>
    <t>CASE STUDY 2</t>
  </si>
  <si>
    <t>2009 Regal 4060 Commodore</t>
  </si>
  <si>
    <t xml:space="preserve">Twin Volvo IPS500 Gas </t>
  </si>
  <si>
    <t>CASE STUDY 3</t>
  </si>
  <si>
    <t>2013 Regal 38 Express</t>
  </si>
  <si>
    <t>Twin Volvo V8 380 Gas Sterndrive</t>
  </si>
  <si>
    <t>CASE STUDY 4</t>
  </si>
  <si>
    <t>2012 Regal 35 Sport Coupe</t>
  </si>
  <si>
    <t>Twin Volvo V8 300 Gas Sterndrive</t>
  </si>
  <si>
    <t>Luxury Tax Calculation</t>
  </si>
  <si>
    <t>Direct HST @ 15%</t>
  </si>
  <si>
    <t>Direct HST @ 15% (excl Insurance)</t>
  </si>
  <si>
    <t>Gain from proposed tax (incl. HST on top of Lux Tax)*</t>
  </si>
  <si>
    <t>*Cost + applicable HST x 10% =Luxury Tax on first sale.</t>
  </si>
  <si>
    <t>*Difference above 250,000 + applicable sales tax * 20% =Luxury Tax</t>
  </si>
  <si>
    <t>ONTARIO</t>
  </si>
  <si>
    <t>ATLANTIC CANADA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</si>
</sst>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mmm\-yyyy"/>
    <numFmt numFmtId="166" formatCode="_(* #,##0_);_(* \(#,##0\);_(* &quot;-&quot;??_);_(@_)"/>
    <numFmt numFmtId="167" formatCode="_(* #,##0.0_);_(* \(#,##0.0\);_(* &quot;-&quot;??_);_(@_)"/>
    <numFmt numFmtId="168" formatCode="0.0%"/>
    <numFmt numFmtId="169" formatCode="&quot;$&quot;#,##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u/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/>
    <xf numFmtId="0" fontId="5" fillId="0" borderId="0" xfId="0" applyFont="1"/>
    <xf numFmtId="0" fontId="5" fillId="0" borderId="1" xfId="0" applyFont="1" applyBorder="1" applyAlignment="1">
      <alignment horizontal="center"/>
    </xf>
    <xf numFmtId="0" fontId="0" fillId="0" borderId="2" xfId="0" applyBorder="1"/>
    <xf numFmtId="6" fontId="0" fillId="0" borderId="2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0" fontId="5" fillId="0" borderId="2" xfId="0" applyFont="1" applyBorder="1"/>
    <xf numFmtId="0" fontId="0" fillId="0" borderId="3" xfId="0" applyBorder="1"/>
    <xf numFmtId="44" fontId="0" fillId="0" borderId="4" xfId="1" applyFont="1" applyBorder="1"/>
    <xf numFmtId="0" fontId="0" fillId="0" borderId="4" xfId="0" applyBorder="1" applyAlignment="1">
      <alignment horizontal="center"/>
    </xf>
    <xf numFmtId="44" fontId="0" fillId="0" borderId="4" xfId="1" applyFont="1" applyBorder="1" applyAlignment="1">
      <alignment horizontal="center"/>
    </xf>
    <xf numFmtId="0" fontId="0" fillId="0" borderId="4" xfId="0" applyBorder="1"/>
    <xf numFmtId="3" fontId="0" fillId="0" borderId="4" xfId="0" applyNumberFormat="1" applyBorder="1" applyAlignment="1">
      <alignment horizontal="center"/>
    </xf>
    <xf numFmtId="0" fontId="0" fillId="0" borderId="4" xfId="0" quotePrefix="1" applyBorder="1" applyAlignment="1">
      <alignment vertical="center" wrapText="1"/>
    </xf>
    <xf numFmtId="44" fontId="0" fillId="0" borderId="4" xfId="1" applyFont="1" applyBorder="1" applyAlignment="1">
      <alignment vertical="center"/>
    </xf>
    <xf numFmtId="44" fontId="2" fillId="0" borderId="4" xfId="0" applyNumberFormat="1" applyFont="1" applyBorder="1"/>
    <xf numFmtId="44" fontId="0" fillId="0" borderId="4" xfId="0" applyNumberFormat="1" applyBorder="1"/>
    <xf numFmtId="0" fontId="6" fillId="0" borderId="0" xfId="0" applyFont="1"/>
    <xf numFmtId="165" fontId="7" fillId="0" borderId="0" xfId="0" applyNumberFormat="1" applyFont="1" applyAlignment="1">
      <alignment wrapText="1"/>
    </xf>
    <xf numFmtId="166" fontId="7" fillId="0" borderId="0" xfId="2" applyNumberFormat="1" applyFont="1" applyAlignment="1">
      <alignment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 wrapText="1"/>
    </xf>
    <xf numFmtId="166" fontId="7" fillId="0" borderId="0" xfId="2" applyNumberFormat="1" applyFont="1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wrapText="1"/>
    </xf>
    <xf numFmtId="0" fontId="7" fillId="0" borderId="9" xfId="0" applyFont="1" applyBorder="1" applyAlignment="1">
      <alignment wrapText="1"/>
    </xf>
    <xf numFmtId="0" fontId="7" fillId="0" borderId="8" xfId="0" applyFont="1" applyBorder="1" applyAlignment="1">
      <alignment horizontal="center" wrapText="1"/>
    </xf>
    <xf numFmtId="165" fontId="7" fillId="0" borderId="0" xfId="0" applyNumberFormat="1" applyFont="1" applyAlignment="1">
      <alignment horizontal="center" wrapText="1"/>
    </xf>
    <xf numFmtId="166" fontId="7" fillId="0" borderId="0" xfId="2" applyNumberFormat="1" applyFont="1" applyBorder="1" applyAlignment="1">
      <alignment horizontal="center" wrapText="1"/>
    </xf>
    <xf numFmtId="166" fontId="7" fillId="0" borderId="9" xfId="2" applyNumberFormat="1" applyFont="1" applyBorder="1" applyAlignment="1">
      <alignment horizontal="center" wrapText="1"/>
    </xf>
    <xf numFmtId="0" fontId="7" fillId="0" borderId="8" xfId="0" applyFont="1" applyBorder="1"/>
    <xf numFmtId="165" fontId="7" fillId="0" borderId="0" xfId="0" applyNumberFormat="1" applyFont="1"/>
    <xf numFmtId="166" fontId="7" fillId="0" borderId="0" xfId="2" applyNumberFormat="1" applyFont="1" applyBorder="1"/>
    <xf numFmtId="166" fontId="7" fillId="0" borderId="9" xfId="2" applyNumberFormat="1" applyFont="1" applyBorder="1"/>
    <xf numFmtId="0" fontId="6" fillId="0" borderId="8" xfId="0" applyFont="1" applyBorder="1"/>
    <xf numFmtId="166" fontId="6" fillId="0" borderId="0" xfId="2" applyNumberFormat="1" applyFont="1" applyBorder="1"/>
    <xf numFmtId="166" fontId="6" fillId="0" borderId="9" xfId="2" applyNumberFormat="1" applyFont="1" applyBorder="1"/>
    <xf numFmtId="166" fontId="6" fillId="0" borderId="0" xfId="2" applyNumberFormat="1" applyFont="1"/>
    <xf numFmtId="167" fontId="7" fillId="0" borderId="0" xfId="2" applyNumberFormat="1" applyFont="1"/>
    <xf numFmtId="167" fontId="7" fillId="0" borderId="0" xfId="0" applyNumberFormat="1" applyFont="1"/>
    <xf numFmtId="166" fontId="6" fillId="0" borderId="0" xfId="0" applyNumberFormat="1" applyFont="1"/>
    <xf numFmtId="166" fontId="6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0" fontId="9" fillId="0" borderId="8" xfId="0" applyFont="1" applyBorder="1"/>
    <xf numFmtId="166" fontId="7" fillId="0" borderId="0" xfId="0" applyNumberFormat="1" applyFont="1" applyAlignment="1">
      <alignment horizontal="center"/>
    </xf>
    <xf numFmtId="0" fontId="7" fillId="0" borderId="9" xfId="0" applyFont="1" applyBorder="1" applyAlignment="1">
      <alignment horizontal="center"/>
    </xf>
    <xf numFmtId="166" fontId="7" fillId="0" borderId="0" xfId="0" applyNumberFormat="1" applyFont="1"/>
    <xf numFmtId="0" fontId="7" fillId="0" borderId="9" xfId="0" applyFont="1" applyBorder="1"/>
    <xf numFmtId="0" fontId="12" fillId="0" borderId="8" xfId="0" applyFont="1" applyBorder="1"/>
    <xf numFmtId="0" fontId="12" fillId="0" borderId="0" xfId="0" applyFont="1"/>
    <xf numFmtId="0" fontId="7" fillId="0" borderId="10" xfId="0" applyFont="1" applyBorder="1"/>
    <xf numFmtId="165" fontId="7" fillId="0" borderId="11" xfId="0" applyNumberFormat="1" applyFont="1" applyBorder="1"/>
    <xf numFmtId="166" fontId="6" fillId="0" borderId="11" xfId="2" applyNumberFormat="1" applyFont="1" applyBorder="1"/>
    <xf numFmtId="166" fontId="6" fillId="0" borderId="12" xfId="2" applyNumberFormat="1" applyFont="1" applyBorder="1"/>
    <xf numFmtId="0" fontId="10" fillId="0" borderId="10" xfId="0" applyFont="1" applyBorder="1"/>
    <xf numFmtId="0" fontId="12" fillId="0" borderId="11" xfId="0" applyFont="1" applyBorder="1"/>
    <xf numFmtId="166" fontId="6" fillId="0" borderId="11" xfId="0" applyNumberFormat="1" applyFont="1" applyBorder="1"/>
    <xf numFmtId="0" fontId="7" fillId="0" borderId="12" xfId="0" applyFont="1" applyBorder="1"/>
    <xf numFmtId="0" fontId="7" fillId="0" borderId="13" xfId="0" applyFont="1" applyBorder="1"/>
    <xf numFmtId="165" fontId="7" fillId="0" borderId="13" xfId="0" applyNumberFormat="1" applyFont="1" applyBorder="1"/>
    <xf numFmtId="166" fontId="6" fillId="0" borderId="13" xfId="2" applyNumberFormat="1" applyFont="1" applyBorder="1"/>
    <xf numFmtId="0" fontId="6" fillId="0" borderId="13" xfId="0" applyFont="1" applyBorder="1"/>
    <xf numFmtId="0" fontId="10" fillId="0" borderId="8" xfId="0" applyFont="1" applyBorder="1" applyAlignment="1">
      <alignment wrapText="1"/>
    </xf>
    <xf numFmtId="166" fontId="11" fillId="0" borderId="8" xfId="2" applyNumberFormat="1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9" xfId="0" applyFont="1" applyBorder="1" applyAlignment="1">
      <alignment horizontal="center" wrapText="1"/>
    </xf>
    <xf numFmtId="166" fontId="7" fillId="0" borderId="8" xfId="2" applyNumberFormat="1" applyFont="1" applyBorder="1"/>
    <xf numFmtId="167" fontId="7" fillId="0" borderId="0" xfId="2" applyNumberFormat="1" applyFont="1" applyBorder="1"/>
    <xf numFmtId="164" fontId="7" fillId="0" borderId="0" xfId="0" applyNumberFormat="1" applyFont="1"/>
    <xf numFmtId="166" fontId="7" fillId="0" borderId="9" xfId="0" applyNumberFormat="1" applyFont="1" applyBorder="1"/>
    <xf numFmtId="166" fontId="6" fillId="0" borderId="10" xfId="2" applyNumberFormat="1" applyFont="1" applyBorder="1"/>
    <xf numFmtId="167" fontId="7" fillId="0" borderId="11" xfId="2" applyNumberFormat="1" applyFont="1" applyBorder="1"/>
    <xf numFmtId="167" fontId="7" fillId="0" borderId="11" xfId="0" applyNumberFormat="1" applyFont="1" applyBorder="1"/>
    <xf numFmtId="0" fontId="7" fillId="0" borderId="11" xfId="0" applyFont="1" applyBorder="1"/>
    <xf numFmtId="0" fontId="6" fillId="0" borderId="11" xfId="0" applyFont="1" applyBorder="1"/>
    <xf numFmtId="166" fontId="6" fillId="0" borderId="12" xfId="0" applyNumberFormat="1" applyFont="1" applyBorder="1"/>
    <xf numFmtId="166" fontId="6" fillId="0" borderId="0" xfId="2" applyNumberFormat="1" applyFont="1" applyAlignment="1">
      <alignment horizontal="center"/>
    </xf>
    <xf numFmtId="0" fontId="11" fillId="0" borderId="8" xfId="0" applyFont="1" applyBorder="1" applyAlignment="1">
      <alignment horizontal="center" wrapText="1"/>
    </xf>
    <xf numFmtId="166" fontId="6" fillId="0" borderId="10" xfId="0" applyNumberFormat="1" applyFont="1" applyBorder="1" applyAlignment="1">
      <alignment horizontal="center"/>
    </xf>
    <xf numFmtId="166" fontId="7" fillId="0" borderId="11" xfId="0" applyNumberFormat="1" applyFont="1" applyBorder="1" applyAlignment="1">
      <alignment horizontal="center"/>
    </xf>
    <xf numFmtId="166" fontId="6" fillId="0" borderId="11" xfId="0" applyNumberFormat="1" applyFont="1" applyBorder="1" applyAlignment="1">
      <alignment horizontal="center"/>
    </xf>
    <xf numFmtId="167" fontId="7" fillId="0" borderId="13" xfId="2" applyNumberFormat="1" applyFont="1" applyBorder="1"/>
    <xf numFmtId="167" fontId="7" fillId="0" borderId="13" xfId="0" applyNumberFormat="1" applyFont="1" applyBorder="1"/>
    <xf numFmtId="166" fontId="6" fillId="0" borderId="13" xfId="0" applyNumberFormat="1" applyFont="1" applyBorder="1"/>
    <xf numFmtId="166" fontId="6" fillId="0" borderId="0" xfId="0" applyNumberFormat="1" applyFont="1" applyAlignment="1">
      <alignment horizontal="center"/>
    </xf>
    <xf numFmtId="0" fontId="11" fillId="0" borderId="0" xfId="0" applyFont="1"/>
    <xf numFmtId="168" fontId="7" fillId="0" borderId="0" xfId="5" applyNumberFormat="1" applyFont="1"/>
    <xf numFmtId="168" fontId="7" fillId="0" borderId="12" xfId="5" applyNumberFormat="1" applyFont="1" applyBorder="1" applyAlignment="1">
      <alignment horizontal="center"/>
    </xf>
    <xf numFmtId="166" fontId="7" fillId="0" borderId="10" xfId="0" applyNumberFormat="1" applyFont="1" applyBorder="1" applyAlignment="1">
      <alignment horizontal="center"/>
    </xf>
    <xf numFmtId="169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10" fillId="0" borderId="0" xfId="0" applyFont="1" applyAlignment="1">
      <alignment horizontal="center" wrapText="1"/>
    </xf>
    <xf numFmtId="0" fontId="10" fillId="0" borderId="9" xfId="0" applyFont="1" applyBorder="1" applyAlignment="1">
      <alignment horizontal="center" wrapText="1"/>
    </xf>
    <xf numFmtId="0" fontId="9" fillId="0" borderId="8" xfId="0" applyFont="1" applyBorder="1" applyAlignment="1">
      <alignment horizontal="left" wrapText="1"/>
    </xf>
    <xf numFmtId="0" fontId="9" fillId="0" borderId="0" xfId="0" applyFont="1" applyAlignment="1">
      <alignment horizontal="left" wrapText="1"/>
    </xf>
    <xf numFmtId="0" fontId="6" fillId="2" borderId="5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165" fontId="6" fillId="2" borderId="5" xfId="0" applyNumberFormat="1" applyFont="1" applyFill="1" applyBorder="1" applyAlignment="1">
      <alignment horizontal="center"/>
    </xf>
    <xf numFmtId="165" fontId="6" fillId="2" borderId="6" xfId="0" applyNumberFormat="1" applyFont="1" applyFill="1" applyBorder="1" applyAlignment="1">
      <alignment horizontal="center"/>
    </xf>
    <xf numFmtId="165" fontId="6" fillId="2" borderId="7" xfId="0" applyNumberFormat="1" applyFont="1" applyFill="1" applyBorder="1" applyAlignment="1">
      <alignment horizontal="center"/>
    </xf>
    <xf numFmtId="0" fontId="7" fillId="0" borderId="0" xfId="0" applyFont="1" applyAlignment="1">
      <alignment horizontal="left" wrapText="1"/>
    </xf>
    <xf numFmtId="0" fontId="10" fillId="0" borderId="8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166" fontId="6" fillId="2" borderId="5" xfId="0" applyNumberFormat="1" applyFont="1" applyFill="1" applyBorder="1" applyAlignment="1">
      <alignment horizontal="center"/>
    </xf>
    <xf numFmtId="166" fontId="6" fillId="2" borderId="6" xfId="0" applyNumberFormat="1" applyFont="1" applyFill="1" applyBorder="1" applyAlignment="1">
      <alignment horizontal="center"/>
    </xf>
    <xf numFmtId="166" fontId="6" fillId="2" borderId="7" xfId="0" applyNumberFormat="1" applyFont="1" applyFill="1" applyBorder="1" applyAlignment="1">
      <alignment horizontal="center"/>
    </xf>
    <xf numFmtId="0" fontId="12" fillId="0" borderId="8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6" fillId="2" borderId="0" xfId="0" applyFont="1" applyFill="1" applyAlignment="1">
      <alignment horizontal="center"/>
    </xf>
  </cellXfs>
  <cellStyles count="6">
    <cellStyle name="Comma" xfId="2" builtinId="3"/>
    <cellStyle name="Comma 2" xfId="4" xr:uid="{825E504B-2A93-4582-A5B1-C3D184EB79EF}"/>
    <cellStyle name="Currency" xfId="1" builtinId="4"/>
    <cellStyle name="Normal" xfId="0" builtinId="0"/>
    <cellStyle name="Normal 2" xfId="3" xr:uid="{48DC5B58-042B-44FD-B659-F9744B08F93A}"/>
    <cellStyle name="Percent 2" xfId="5" xr:uid="{F6E6DD76-E6A3-4813-90C0-821AB1C3C8F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3</xdr:row>
      <xdr:rowOff>68580</xdr:rowOff>
    </xdr:from>
    <xdr:to>
      <xdr:col>3</xdr:col>
      <xdr:colOff>2029168</xdr:colOff>
      <xdr:row>3</xdr:row>
      <xdr:rowOff>1371600</xdr:rowOff>
    </xdr:to>
    <xdr:pic>
      <xdr:nvPicPr>
        <xdr:cNvPr id="2" name="Picture 1" descr="Boston Whaler 280 Outrage: Something's Fishy - boats.com">
          <a:extLst>
            <a:ext uri="{FF2B5EF4-FFF2-40B4-BE49-F238E27FC236}">
              <a16:creationId xmlns:a16="http://schemas.microsoft.com/office/drawing/2014/main" id="{455A9343-2735-45DC-A22D-7FC988C7D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5180" y="662940"/>
          <a:ext cx="1952968" cy="130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83821</xdr:colOff>
      <xdr:row>3</xdr:row>
      <xdr:rowOff>63612</xdr:rowOff>
    </xdr:from>
    <xdr:to>
      <xdr:col>4</xdr:col>
      <xdr:colOff>2072641</xdr:colOff>
      <xdr:row>3</xdr:row>
      <xdr:rowOff>1386840</xdr:rowOff>
    </xdr:to>
    <xdr:pic>
      <xdr:nvPicPr>
        <xdr:cNvPr id="3" name="Picture 2" descr="Sea Ray 320 Sundancer boats for sale - boats.com">
          <a:extLst>
            <a:ext uri="{FF2B5EF4-FFF2-40B4-BE49-F238E27FC236}">
              <a16:creationId xmlns:a16="http://schemas.microsoft.com/office/drawing/2014/main" id="{454A6D76-FDFE-43EB-AAA7-0AA67E386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921" y="657972"/>
          <a:ext cx="1988820" cy="1323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3</xdr:row>
      <xdr:rowOff>74046</xdr:rowOff>
    </xdr:from>
    <xdr:to>
      <xdr:col>6</xdr:col>
      <xdr:colOff>1905</xdr:colOff>
      <xdr:row>3</xdr:row>
      <xdr:rowOff>1363980</xdr:rowOff>
    </xdr:to>
    <xdr:pic>
      <xdr:nvPicPr>
        <xdr:cNvPr id="4" name="Picture 3" descr="Azimut 50 - Power &amp; Motoryacht">
          <a:extLst>
            <a:ext uri="{FF2B5EF4-FFF2-40B4-BE49-F238E27FC236}">
              <a16:creationId xmlns:a16="http://schemas.microsoft.com/office/drawing/2014/main" id="{8334B5F6-09CE-4118-AFA4-708D27E09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9040" y="668406"/>
          <a:ext cx="2430780" cy="1289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75253</xdr:colOff>
      <xdr:row>3</xdr:row>
      <xdr:rowOff>155712</xdr:rowOff>
    </xdr:from>
    <xdr:to>
      <xdr:col>2</xdr:col>
      <xdr:colOff>1805288</xdr:colOff>
      <xdr:row>3</xdr:row>
      <xdr:rowOff>1308848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AE6DB90-C74E-44B7-A4E5-26336BA00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81959" y="756347"/>
          <a:ext cx="1730035" cy="11531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E2F4E-96A0-40B2-8982-5EC7A4706AF9}">
  <sheetPr>
    <pageSetUpPr fitToPage="1"/>
  </sheetPr>
  <dimension ref="B2:G29"/>
  <sheetViews>
    <sheetView topLeftCell="A19" workbookViewId="0">
      <selection activeCell="B29" sqref="B29:C29"/>
    </sheetView>
  </sheetViews>
  <sheetFormatPr defaultRowHeight="15" x14ac:dyDescent="0.25"/>
  <cols>
    <col min="2" max="2" width="34.7109375" bestFit="1" customWidth="1"/>
    <col min="3" max="5" width="22.28515625" customWidth="1"/>
    <col min="6" max="6" width="24.140625" customWidth="1"/>
    <col min="7" max="7" width="12.7109375" style="2" customWidth="1"/>
  </cols>
  <sheetData>
    <row r="2" spans="2:7" ht="26.25" x14ac:dyDescent="0.4">
      <c r="B2" s="95" t="s">
        <v>0</v>
      </c>
      <c r="C2" s="95"/>
      <c r="D2" s="95"/>
      <c r="E2" s="95"/>
      <c r="F2" s="95"/>
      <c r="G2" s="95"/>
    </row>
    <row r="3" spans="2:7" x14ac:dyDescent="0.25">
      <c r="B3" s="96" t="s">
        <v>1</v>
      </c>
      <c r="C3" s="96"/>
      <c r="D3" s="96"/>
      <c r="E3" s="96"/>
      <c r="F3" s="96"/>
      <c r="G3" s="11"/>
    </row>
    <row r="4" spans="2:7" s="1" customFormat="1" x14ac:dyDescent="0.25">
      <c r="B4" s="12"/>
      <c r="C4" s="12" t="s">
        <v>2</v>
      </c>
      <c r="D4" s="12" t="s">
        <v>3</v>
      </c>
      <c r="E4" s="12" t="s">
        <v>4</v>
      </c>
      <c r="F4" s="12" t="s">
        <v>5</v>
      </c>
      <c r="G4" s="13"/>
    </row>
    <row r="5" spans="2:7" x14ac:dyDescent="0.25">
      <c r="B5" s="14" t="s">
        <v>6</v>
      </c>
      <c r="C5" s="15">
        <v>508000</v>
      </c>
      <c r="D5" s="15">
        <v>400000</v>
      </c>
      <c r="E5" s="12">
        <v>220000</v>
      </c>
      <c r="F5" s="12">
        <v>160000</v>
      </c>
      <c r="G5" s="11"/>
    </row>
    <row r="6" spans="2:7" x14ac:dyDescent="0.25">
      <c r="B6" s="14" t="s">
        <v>98</v>
      </c>
      <c r="C6" s="12">
        <f>C5*0.15</f>
        <v>76200</v>
      </c>
      <c r="D6" s="94">
        <f t="shared" ref="D6:F6" si="0">D5*0.15</f>
        <v>60000</v>
      </c>
      <c r="E6" s="94">
        <f t="shared" si="0"/>
        <v>33000</v>
      </c>
      <c r="F6" s="94">
        <f t="shared" si="0"/>
        <v>24000</v>
      </c>
      <c r="G6" s="13">
        <f>SUM(C6:F6)</f>
        <v>193200</v>
      </c>
    </row>
    <row r="7" spans="2:7" x14ac:dyDescent="0.25">
      <c r="B7" s="14"/>
      <c r="C7" s="12"/>
      <c r="D7" s="12"/>
      <c r="E7" s="12"/>
      <c r="F7" s="12"/>
      <c r="G7" s="11"/>
    </row>
    <row r="8" spans="2:7" x14ac:dyDescent="0.25">
      <c r="B8" s="14" t="s">
        <v>7</v>
      </c>
      <c r="C8" s="12"/>
      <c r="D8" s="12"/>
      <c r="E8" s="12"/>
      <c r="F8" s="12"/>
      <c r="G8" s="11"/>
    </row>
    <row r="9" spans="2:7" x14ac:dyDescent="0.25">
      <c r="B9" s="14" t="s">
        <v>8</v>
      </c>
      <c r="C9" s="15">
        <v>5000</v>
      </c>
      <c r="D9" s="12">
        <v>4000</v>
      </c>
      <c r="E9" s="12">
        <v>3500</v>
      </c>
      <c r="F9" s="12">
        <v>3000</v>
      </c>
      <c r="G9" s="11">
        <f>SUM(C9:F9)*5</f>
        <v>77500</v>
      </c>
    </row>
    <row r="10" spans="2:7" x14ac:dyDescent="0.25">
      <c r="B10" s="14" t="s">
        <v>9</v>
      </c>
      <c r="C10" s="15">
        <v>1000</v>
      </c>
      <c r="D10" s="12">
        <v>1000</v>
      </c>
      <c r="E10" s="12">
        <v>800</v>
      </c>
      <c r="F10" s="12">
        <v>500</v>
      </c>
      <c r="G10" s="11">
        <f t="shared" ref="G10:G17" si="1">SUM(C10:F10)*5</f>
        <v>16500</v>
      </c>
    </row>
    <row r="11" spans="2:7" x14ac:dyDescent="0.25">
      <c r="B11" s="14" t="s">
        <v>10</v>
      </c>
      <c r="C11" s="12">
        <v>1000</v>
      </c>
      <c r="D11" s="12">
        <v>1000</v>
      </c>
      <c r="E11" s="12">
        <v>1500</v>
      </c>
      <c r="F11" s="12">
        <v>1000</v>
      </c>
      <c r="G11" s="11">
        <f t="shared" si="1"/>
        <v>22500</v>
      </c>
    </row>
    <row r="12" spans="2:7" x14ac:dyDescent="0.25">
      <c r="B12" s="14" t="s">
        <v>11</v>
      </c>
      <c r="C12" s="12">
        <v>2000</v>
      </c>
      <c r="D12" s="12">
        <v>2000</v>
      </c>
      <c r="E12" s="12">
        <v>2000</v>
      </c>
      <c r="F12" s="12">
        <v>1500</v>
      </c>
      <c r="G12" s="11">
        <f t="shared" si="1"/>
        <v>37500</v>
      </c>
    </row>
    <row r="13" spans="2:7" x14ac:dyDescent="0.25">
      <c r="B13" s="14" t="s">
        <v>12</v>
      </c>
      <c r="C13" s="12">
        <v>3000</v>
      </c>
      <c r="D13" s="12">
        <v>1000</v>
      </c>
      <c r="E13" s="12">
        <v>1000</v>
      </c>
      <c r="F13" s="12">
        <v>1000</v>
      </c>
      <c r="G13" s="11">
        <f t="shared" si="1"/>
        <v>30000</v>
      </c>
    </row>
    <row r="14" spans="2:7" x14ac:dyDescent="0.25">
      <c r="B14" s="14" t="s">
        <v>13</v>
      </c>
      <c r="C14" s="12">
        <v>3500</v>
      </c>
      <c r="D14" s="12">
        <v>3000</v>
      </c>
      <c r="E14" s="12">
        <v>2500</v>
      </c>
      <c r="F14" s="12">
        <v>2000</v>
      </c>
      <c r="G14" s="11">
        <f t="shared" si="1"/>
        <v>55000</v>
      </c>
    </row>
    <row r="15" spans="2:7" x14ac:dyDescent="0.25">
      <c r="B15" s="14" t="s">
        <v>14</v>
      </c>
      <c r="C15" s="12">
        <v>4000</v>
      </c>
      <c r="D15" s="12">
        <v>3200</v>
      </c>
      <c r="E15" s="12">
        <v>1800</v>
      </c>
      <c r="F15" s="12">
        <v>1280</v>
      </c>
      <c r="G15" s="11">
        <f t="shared" si="1"/>
        <v>51400</v>
      </c>
    </row>
    <row r="16" spans="2:7" x14ac:dyDescent="0.25">
      <c r="B16" s="14" t="s">
        <v>15</v>
      </c>
      <c r="C16" s="12">
        <v>1500</v>
      </c>
      <c r="D16" s="12">
        <v>1500</v>
      </c>
      <c r="E16" s="12">
        <v>1000</v>
      </c>
      <c r="F16" s="12">
        <v>1000</v>
      </c>
      <c r="G16" s="11">
        <f t="shared" si="1"/>
        <v>25000</v>
      </c>
    </row>
    <row r="17" spans="2:7" x14ac:dyDescent="0.25">
      <c r="B17" s="14"/>
      <c r="C17" s="15">
        <f>SUM(C9:C16)</f>
        <v>21000</v>
      </c>
      <c r="D17" s="15">
        <f>SUM(D9:D16)</f>
        <v>16700</v>
      </c>
      <c r="E17" s="15">
        <f>SUM(E9:E16)</f>
        <v>14100</v>
      </c>
      <c r="F17" s="15">
        <f>SUM(F9:F16)</f>
        <v>11280</v>
      </c>
      <c r="G17" s="11">
        <f t="shared" si="1"/>
        <v>315400</v>
      </c>
    </row>
    <row r="18" spans="2:7" x14ac:dyDescent="0.25">
      <c r="B18" s="14" t="s">
        <v>99</v>
      </c>
      <c r="C18" s="12">
        <f>(C9+C10+C11+C12+C13+C14+C16)*0.15</f>
        <v>2550</v>
      </c>
      <c r="D18" s="94">
        <f t="shared" ref="D18:F18" si="2">(D9+D10+D11+D12+D13+D14+D16)*0.15</f>
        <v>2025</v>
      </c>
      <c r="E18" s="94">
        <f t="shared" si="2"/>
        <v>1845</v>
      </c>
      <c r="F18" s="94">
        <f t="shared" si="2"/>
        <v>1500</v>
      </c>
      <c r="G18" s="11" t="s">
        <v>16</v>
      </c>
    </row>
    <row r="19" spans="2:7" x14ac:dyDescent="0.25">
      <c r="B19" s="14" t="s">
        <v>17</v>
      </c>
      <c r="C19" s="12">
        <f>C18*5</f>
        <v>12750</v>
      </c>
      <c r="D19" s="12">
        <f>D18*5</f>
        <v>10125</v>
      </c>
      <c r="E19" s="12">
        <f>E18*5</f>
        <v>9225</v>
      </c>
      <c r="F19" s="12">
        <f>F18*5</f>
        <v>7500</v>
      </c>
      <c r="G19" s="13">
        <f>SUM(C19:F19)</f>
        <v>39600</v>
      </c>
    </row>
    <row r="20" spans="2:7" x14ac:dyDescent="0.25">
      <c r="B20" s="14"/>
      <c r="C20" s="14"/>
      <c r="D20" s="14"/>
      <c r="E20" s="14"/>
      <c r="F20" s="14" t="s">
        <v>18</v>
      </c>
      <c r="G20" s="11">
        <f>G19+G6</f>
        <v>232800</v>
      </c>
    </row>
    <row r="21" spans="2:7" ht="45" x14ac:dyDescent="0.25">
      <c r="B21" s="14"/>
      <c r="C21" s="14"/>
      <c r="D21" s="11"/>
      <c r="E21" s="11"/>
      <c r="F21" s="16" t="s">
        <v>100</v>
      </c>
      <c r="G21" s="17">
        <v>58420</v>
      </c>
    </row>
    <row r="22" spans="2:7" x14ac:dyDescent="0.25">
      <c r="B22" s="14"/>
      <c r="C22" s="14"/>
      <c r="D22" s="14"/>
      <c r="E22" s="14"/>
      <c r="F22" s="14" t="s">
        <v>19</v>
      </c>
      <c r="G22" s="18">
        <f>G21-G20</f>
        <v>-174380</v>
      </c>
    </row>
    <row r="23" spans="2:7" x14ac:dyDescent="0.25">
      <c r="B23" t="s">
        <v>20</v>
      </c>
      <c r="C23" s="1"/>
      <c r="D23" s="1"/>
      <c r="E23" s="1"/>
      <c r="F23" s="1"/>
    </row>
    <row r="24" spans="2:7" x14ac:dyDescent="0.25">
      <c r="B24" t="s">
        <v>21</v>
      </c>
      <c r="C24" s="1">
        <v>1</v>
      </c>
      <c r="D24" s="1">
        <v>1</v>
      </c>
      <c r="E24" s="1">
        <v>1</v>
      </c>
      <c r="F24" s="1">
        <v>1</v>
      </c>
    </row>
    <row r="25" spans="2:7" x14ac:dyDescent="0.25">
      <c r="B25" t="s">
        <v>22</v>
      </c>
      <c r="C25" s="1">
        <v>2</v>
      </c>
      <c r="D25" s="1">
        <v>2</v>
      </c>
      <c r="E25" s="1">
        <v>2</v>
      </c>
      <c r="F25" s="1">
        <v>2</v>
      </c>
    </row>
    <row r="26" spans="2:7" x14ac:dyDescent="0.25">
      <c r="B26" t="s">
        <v>23</v>
      </c>
      <c r="C26" s="1">
        <v>2</v>
      </c>
      <c r="D26" s="1">
        <v>2</v>
      </c>
      <c r="E26" s="1">
        <v>2</v>
      </c>
      <c r="F26" s="1">
        <v>2</v>
      </c>
    </row>
    <row r="27" spans="2:7" x14ac:dyDescent="0.25">
      <c r="B27" t="s">
        <v>24</v>
      </c>
      <c r="C27" s="1">
        <v>1</v>
      </c>
      <c r="D27" s="1">
        <v>1</v>
      </c>
      <c r="E27" s="1">
        <v>1</v>
      </c>
      <c r="F27" s="1">
        <v>1</v>
      </c>
    </row>
    <row r="28" spans="2:7" x14ac:dyDescent="0.25">
      <c r="C28" s="1"/>
      <c r="D28" s="1"/>
      <c r="E28" s="1"/>
      <c r="F28" s="1"/>
    </row>
    <row r="29" spans="2:7" x14ac:dyDescent="0.25">
      <c r="B29" t="s">
        <v>101</v>
      </c>
    </row>
  </sheetData>
  <mergeCells count="2">
    <mergeCell ref="B2:G2"/>
    <mergeCell ref="B3:F3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7E26F-929C-4CDA-A620-872CEC462A2E}">
  <sheetPr>
    <pageSetUpPr fitToPage="1"/>
  </sheetPr>
  <dimension ref="B2:G30"/>
  <sheetViews>
    <sheetView topLeftCell="A11" workbookViewId="0">
      <selection activeCell="D30" sqref="B30:D30"/>
    </sheetView>
  </sheetViews>
  <sheetFormatPr defaultRowHeight="15" x14ac:dyDescent="0.25"/>
  <cols>
    <col min="2" max="2" width="34.7109375" bestFit="1" customWidth="1"/>
    <col min="3" max="5" width="22.28515625" customWidth="1"/>
    <col min="6" max="6" width="24.140625" customWidth="1"/>
    <col min="7" max="7" width="12.7109375" style="2" customWidth="1"/>
  </cols>
  <sheetData>
    <row r="2" spans="2:7" ht="26.25" x14ac:dyDescent="0.4">
      <c r="B2" s="95" t="s">
        <v>0</v>
      </c>
      <c r="C2" s="95"/>
      <c r="D2" s="95"/>
      <c r="E2" s="95"/>
      <c r="F2" s="95"/>
      <c r="G2" s="95"/>
    </row>
    <row r="3" spans="2:7" x14ac:dyDescent="0.25">
      <c r="B3" s="96" t="s">
        <v>25</v>
      </c>
      <c r="C3" s="96"/>
      <c r="D3" s="96"/>
      <c r="E3" s="96"/>
      <c r="F3" s="96"/>
      <c r="G3" s="11"/>
    </row>
    <row r="4" spans="2:7" s="1" customFormat="1" x14ac:dyDescent="0.25">
      <c r="B4" s="12"/>
      <c r="C4" s="12" t="s">
        <v>2</v>
      </c>
      <c r="D4" s="12" t="s">
        <v>3</v>
      </c>
      <c r="E4" s="12" t="s">
        <v>4</v>
      </c>
      <c r="F4" s="12" t="s">
        <v>5</v>
      </c>
      <c r="G4" s="13"/>
    </row>
    <row r="5" spans="2:7" x14ac:dyDescent="0.25">
      <c r="B5" s="14" t="s">
        <v>6</v>
      </c>
      <c r="C5" s="15">
        <v>350000</v>
      </c>
      <c r="D5" s="15">
        <v>275000</v>
      </c>
      <c r="E5" s="12">
        <v>225000</v>
      </c>
      <c r="F5" s="12">
        <v>180000</v>
      </c>
      <c r="G5" s="11"/>
    </row>
    <row r="6" spans="2:7" x14ac:dyDescent="0.25">
      <c r="B6" s="14" t="s">
        <v>98</v>
      </c>
      <c r="C6" s="12">
        <f>C5*0.15</f>
        <v>52500</v>
      </c>
      <c r="D6" s="94">
        <f t="shared" ref="D6:F6" si="0">D5*0.15</f>
        <v>41250</v>
      </c>
      <c r="E6" s="94">
        <f t="shared" si="0"/>
        <v>33750</v>
      </c>
      <c r="F6" s="94">
        <f t="shared" si="0"/>
        <v>27000</v>
      </c>
      <c r="G6" s="13">
        <f>SUM(C6:F6)</f>
        <v>154500</v>
      </c>
    </row>
    <row r="7" spans="2:7" x14ac:dyDescent="0.25">
      <c r="B7" s="14"/>
      <c r="C7" s="12"/>
      <c r="D7" s="12"/>
      <c r="E7" s="12"/>
      <c r="F7" s="12"/>
      <c r="G7" s="11"/>
    </row>
    <row r="8" spans="2:7" x14ac:dyDescent="0.25">
      <c r="B8" s="14" t="s">
        <v>7</v>
      </c>
      <c r="C8" s="12"/>
      <c r="D8" s="12"/>
      <c r="E8" s="12"/>
      <c r="F8" s="12"/>
      <c r="G8" s="11"/>
    </row>
    <row r="9" spans="2:7" x14ac:dyDescent="0.25">
      <c r="B9" s="14" t="s">
        <v>8</v>
      </c>
      <c r="C9" s="15">
        <v>6000</v>
      </c>
      <c r="D9" s="12">
        <v>5000</v>
      </c>
      <c r="E9" s="12">
        <v>4000</v>
      </c>
      <c r="F9" s="12">
        <v>4000</v>
      </c>
      <c r="G9" s="11">
        <f>SUM(C9:F9)*5</f>
        <v>95000</v>
      </c>
    </row>
    <row r="10" spans="2:7" x14ac:dyDescent="0.25">
      <c r="B10" s="14" t="s">
        <v>9</v>
      </c>
      <c r="C10" s="15">
        <v>3500</v>
      </c>
      <c r="D10" s="12">
        <v>3250</v>
      </c>
      <c r="E10" s="12">
        <v>3000</v>
      </c>
      <c r="F10" s="12">
        <v>3000</v>
      </c>
      <c r="G10" s="11">
        <f t="shared" ref="G10:G17" si="1">SUM(C10:F10)*5</f>
        <v>63750</v>
      </c>
    </row>
    <row r="11" spans="2:7" x14ac:dyDescent="0.25">
      <c r="B11" s="14" t="s">
        <v>10</v>
      </c>
      <c r="C11" s="12">
        <v>2000</v>
      </c>
      <c r="D11" s="12">
        <v>2000</v>
      </c>
      <c r="E11" s="12">
        <v>2500</v>
      </c>
      <c r="F11" s="12">
        <v>2500</v>
      </c>
      <c r="G11" s="11">
        <f t="shared" si="1"/>
        <v>45000</v>
      </c>
    </row>
    <row r="12" spans="2:7" x14ac:dyDescent="0.25">
      <c r="B12" s="14" t="s">
        <v>11</v>
      </c>
      <c r="C12" s="12">
        <v>3500</v>
      </c>
      <c r="D12" s="12">
        <v>3000</v>
      </c>
      <c r="E12" s="12">
        <v>3000</v>
      </c>
      <c r="F12" s="12">
        <v>2500</v>
      </c>
      <c r="G12" s="11">
        <f t="shared" si="1"/>
        <v>60000</v>
      </c>
    </row>
    <row r="13" spans="2:7" x14ac:dyDescent="0.25">
      <c r="B13" s="14" t="s">
        <v>12</v>
      </c>
      <c r="C13" s="12">
        <v>3000</v>
      </c>
      <c r="D13" s="12">
        <v>1000</v>
      </c>
      <c r="E13" s="12">
        <v>1000</v>
      </c>
      <c r="F13" s="12">
        <v>1000</v>
      </c>
      <c r="G13" s="11">
        <f t="shared" si="1"/>
        <v>30000</v>
      </c>
    </row>
    <row r="14" spans="2:7" x14ac:dyDescent="0.25">
      <c r="B14" s="14" t="s">
        <v>13</v>
      </c>
      <c r="C14" s="12">
        <v>5500</v>
      </c>
      <c r="D14" s="12">
        <v>5000</v>
      </c>
      <c r="E14" s="12">
        <v>4500</v>
      </c>
      <c r="F14" s="12">
        <v>4000</v>
      </c>
      <c r="G14" s="11">
        <f t="shared" si="1"/>
        <v>95000</v>
      </c>
    </row>
    <row r="15" spans="2:7" x14ac:dyDescent="0.25">
      <c r="B15" s="14" t="s">
        <v>14</v>
      </c>
      <c r="C15" s="12">
        <v>3150</v>
      </c>
      <c r="D15" s="12">
        <v>2500</v>
      </c>
      <c r="E15" s="12">
        <v>2000</v>
      </c>
      <c r="F15" s="12">
        <v>1600</v>
      </c>
      <c r="G15" s="11">
        <f t="shared" si="1"/>
        <v>46250</v>
      </c>
    </row>
    <row r="16" spans="2:7" x14ac:dyDescent="0.25">
      <c r="B16" s="14" t="s">
        <v>15</v>
      </c>
      <c r="C16" s="12">
        <v>3000</v>
      </c>
      <c r="D16" s="12">
        <v>2500</v>
      </c>
      <c r="E16" s="12">
        <v>2000</v>
      </c>
      <c r="F16" s="12">
        <v>2000</v>
      </c>
      <c r="G16" s="11">
        <f t="shared" si="1"/>
        <v>47500</v>
      </c>
    </row>
    <row r="17" spans="2:7" x14ac:dyDescent="0.25">
      <c r="B17" s="14"/>
      <c r="C17" s="15">
        <f>SUM(C9:C16)</f>
        <v>29650</v>
      </c>
      <c r="D17" s="15">
        <f>SUM(D9:D16)</f>
        <v>24250</v>
      </c>
      <c r="E17" s="15">
        <f>SUM(E9:E16)</f>
        <v>22000</v>
      </c>
      <c r="F17" s="15">
        <f>SUM(F9:F16)</f>
        <v>20600</v>
      </c>
      <c r="G17" s="11">
        <f t="shared" si="1"/>
        <v>482500</v>
      </c>
    </row>
    <row r="18" spans="2:7" x14ac:dyDescent="0.25">
      <c r="B18" s="14" t="s">
        <v>99</v>
      </c>
      <c r="C18" s="12">
        <f>(C9+C10+C11+C12+C13+C14+C16)*0.15</f>
        <v>3975</v>
      </c>
      <c r="D18" s="94">
        <f t="shared" ref="D18:F18" si="2">(D9+D10+D11+D12+D13+D14+D16)*0.15</f>
        <v>3262.5</v>
      </c>
      <c r="E18" s="94">
        <f t="shared" si="2"/>
        <v>3000</v>
      </c>
      <c r="F18" s="94">
        <f t="shared" si="2"/>
        <v>2850</v>
      </c>
      <c r="G18" s="11" t="s">
        <v>16</v>
      </c>
    </row>
    <row r="19" spans="2:7" x14ac:dyDescent="0.25">
      <c r="B19" s="14" t="s">
        <v>17</v>
      </c>
      <c r="C19" s="12">
        <f>C18*5</f>
        <v>19875</v>
      </c>
      <c r="D19" s="12">
        <f>D18*5</f>
        <v>16312.5</v>
      </c>
      <c r="E19" s="12">
        <f>E18*5</f>
        <v>15000</v>
      </c>
      <c r="F19" s="12">
        <f>F18*5</f>
        <v>14250</v>
      </c>
      <c r="G19" s="13">
        <f>SUM(C19:F19)</f>
        <v>65437.5</v>
      </c>
    </row>
    <row r="20" spans="2:7" x14ac:dyDescent="0.25">
      <c r="B20" s="14"/>
      <c r="C20" s="14"/>
      <c r="D20" s="14"/>
      <c r="E20" s="14"/>
      <c r="F20" s="14" t="s">
        <v>18</v>
      </c>
      <c r="G20" s="11">
        <f>G19+G6</f>
        <v>219937.5</v>
      </c>
    </row>
    <row r="21" spans="2:7" ht="45" x14ac:dyDescent="0.25">
      <c r="B21" s="14"/>
      <c r="C21" s="14"/>
      <c r="D21" s="11"/>
      <c r="E21" s="11"/>
      <c r="F21" s="16" t="s">
        <v>100</v>
      </c>
      <c r="G21" s="17">
        <v>22600</v>
      </c>
    </row>
    <row r="22" spans="2:7" x14ac:dyDescent="0.25">
      <c r="B22" s="14"/>
      <c r="C22" s="14"/>
      <c r="D22" s="14"/>
      <c r="E22" s="14"/>
      <c r="F22" s="14" t="s">
        <v>19</v>
      </c>
      <c r="G22" s="18">
        <f>G21-G20</f>
        <v>-197337.5</v>
      </c>
    </row>
    <row r="23" spans="2:7" x14ac:dyDescent="0.25">
      <c r="B23" t="s">
        <v>20</v>
      </c>
      <c r="C23" s="1"/>
      <c r="D23" s="1"/>
      <c r="E23" s="1"/>
      <c r="F23" s="1"/>
    </row>
    <row r="24" spans="2:7" x14ac:dyDescent="0.25">
      <c r="B24" t="s">
        <v>21</v>
      </c>
      <c r="C24" s="1">
        <v>1</v>
      </c>
      <c r="D24" s="1">
        <v>1</v>
      </c>
      <c r="E24" s="1">
        <v>1</v>
      </c>
      <c r="F24" s="1">
        <v>1</v>
      </c>
    </row>
    <row r="25" spans="2:7" x14ac:dyDescent="0.25">
      <c r="B25" t="s">
        <v>22</v>
      </c>
      <c r="C25" s="1">
        <v>2</v>
      </c>
      <c r="D25" s="1">
        <v>2</v>
      </c>
      <c r="E25" s="1">
        <v>2</v>
      </c>
      <c r="F25" s="1">
        <v>2</v>
      </c>
    </row>
    <row r="26" spans="2:7" x14ac:dyDescent="0.25">
      <c r="B26" t="s">
        <v>23</v>
      </c>
      <c r="C26" s="1">
        <v>2</v>
      </c>
      <c r="D26" s="1">
        <v>2</v>
      </c>
      <c r="E26" s="1">
        <v>2</v>
      </c>
      <c r="F26" s="1">
        <v>2</v>
      </c>
    </row>
    <row r="27" spans="2:7" x14ac:dyDescent="0.25">
      <c r="B27" t="s">
        <v>24</v>
      </c>
      <c r="C27" s="1">
        <v>1</v>
      </c>
      <c r="D27" s="1">
        <v>1</v>
      </c>
      <c r="E27" s="1">
        <v>1</v>
      </c>
      <c r="F27" s="1">
        <v>1</v>
      </c>
    </row>
    <row r="28" spans="2:7" x14ac:dyDescent="0.25">
      <c r="C28" s="1"/>
      <c r="D28" s="1"/>
      <c r="E28" s="1"/>
      <c r="F28" s="1"/>
    </row>
    <row r="30" spans="2:7" x14ac:dyDescent="0.25">
      <c r="B30" t="s">
        <v>102</v>
      </c>
    </row>
  </sheetData>
  <mergeCells count="2">
    <mergeCell ref="B3:F3"/>
    <mergeCell ref="B2:G2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0088C-E379-43B5-BA40-B4688BD5B2AB}">
  <sheetPr>
    <pageSetUpPr fitToPage="1"/>
  </sheetPr>
  <dimension ref="B2:G30"/>
  <sheetViews>
    <sheetView topLeftCell="A16" workbookViewId="0">
      <selection activeCell="B30" sqref="B30:C30"/>
    </sheetView>
  </sheetViews>
  <sheetFormatPr defaultRowHeight="15" x14ac:dyDescent="0.25"/>
  <cols>
    <col min="2" max="2" width="34.7109375" bestFit="1" customWidth="1"/>
    <col min="3" max="5" width="22.28515625" customWidth="1"/>
    <col min="6" max="6" width="25.5703125" customWidth="1"/>
    <col min="7" max="7" width="12.28515625" bestFit="1" customWidth="1"/>
  </cols>
  <sheetData>
    <row r="2" spans="2:7" ht="26.25" x14ac:dyDescent="0.4">
      <c r="B2" s="95" t="s">
        <v>0</v>
      </c>
      <c r="C2" s="95"/>
      <c r="D2" s="95"/>
      <c r="E2" s="95"/>
      <c r="F2" s="95"/>
      <c r="G2" s="95"/>
    </row>
    <row r="3" spans="2:7" x14ac:dyDescent="0.25">
      <c r="B3" s="96" t="s">
        <v>26</v>
      </c>
      <c r="C3" s="96"/>
      <c r="D3" s="96"/>
      <c r="E3" s="96"/>
      <c r="F3" s="96"/>
      <c r="G3" s="14"/>
    </row>
    <row r="4" spans="2:7" x14ac:dyDescent="0.25">
      <c r="B4" s="14"/>
      <c r="C4" s="14" t="s">
        <v>2</v>
      </c>
      <c r="D4" s="14" t="s">
        <v>3</v>
      </c>
      <c r="E4" s="14" t="s">
        <v>4</v>
      </c>
      <c r="F4" s="14" t="s">
        <v>5</v>
      </c>
      <c r="G4" s="14"/>
    </row>
    <row r="5" spans="2:7" x14ac:dyDescent="0.25">
      <c r="B5" s="14" t="s">
        <v>6</v>
      </c>
      <c r="C5" s="15">
        <v>550000</v>
      </c>
      <c r="D5" s="15">
        <v>450000</v>
      </c>
      <c r="E5" s="15">
        <v>375000</v>
      </c>
      <c r="F5" s="15">
        <v>275000</v>
      </c>
      <c r="G5" s="14"/>
    </row>
    <row r="6" spans="2:7" x14ac:dyDescent="0.25">
      <c r="B6" s="14" t="s">
        <v>98</v>
      </c>
      <c r="C6" s="12">
        <f>C5*0.15</f>
        <v>82500</v>
      </c>
      <c r="D6" s="94">
        <f t="shared" ref="D6:F6" si="0">D5*0.15</f>
        <v>67500</v>
      </c>
      <c r="E6" s="94">
        <f t="shared" si="0"/>
        <v>56250</v>
      </c>
      <c r="F6" s="94">
        <f t="shared" si="0"/>
        <v>41250</v>
      </c>
      <c r="G6" s="13">
        <f>SUM(C6:F6)</f>
        <v>247500</v>
      </c>
    </row>
    <row r="7" spans="2:7" x14ac:dyDescent="0.25">
      <c r="B7" s="14"/>
      <c r="C7" s="12"/>
      <c r="D7" s="12"/>
      <c r="E7" s="12"/>
      <c r="F7" s="12"/>
      <c r="G7" s="14"/>
    </row>
    <row r="8" spans="2:7" x14ac:dyDescent="0.25">
      <c r="B8" s="14" t="s">
        <v>7</v>
      </c>
      <c r="C8" s="12"/>
      <c r="D8" s="12"/>
      <c r="E8" s="12"/>
      <c r="F8" s="12"/>
      <c r="G8" s="14"/>
    </row>
    <row r="9" spans="2:7" x14ac:dyDescent="0.25">
      <c r="B9" s="14" t="s">
        <v>8</v>
      </c>
      <c r="C9" s="15">
        <v>8000</v>
      </c>
      <c r="D9" s="15">
        <v>7500</v>
      </c>
      <c r="E9" s="15">
        <v>7000</v>
      </c>
      <c r="F9" s="15">
        <v>6000</v>
      </c>
      <c r="G9" s="11">
        <f>SUM(C9:F9)*5</f>
        <v>142500</v>
      </c>
    </row>
    <row r="10" spans="2:7" x14ac:dyDescent="0.25">
      <c r="B10" s="14" t="s">
        <v>9</v>
      </c>
      <c r="C10" s="15">
        <v>4500</v>
      </c>
      <c r="D10" s="15">
        <v>4500</v>
      </c>
      <c r="E10" s="15">
        <v>4000</v>
      </c>
      <c r="F10" s="15">
        <v>3500</v>
      </c>
      <c r="G10" s="11">
        <f t="shared" ref="G10:G17" si="1">SUM(C10:F10)*5</f>
        <v>82500</v>
      </c>
    </row>
    <row r="11" spans="2:7" x14ac:dyDescent="0.25">
      <c r="B11" s="14" t="s">
        <v>10</v>
      </c>
      <c r="C11" s="12">
        <v>2500</v>
      </c>
      <c r="D11" s="12">
        <v>2000</v>
      </c>
      <c r="E11" s="12">
        <v>2000</v>
      </c>
      <c r="F11" s="12">
        <v>2000</v>
      </c>
      <c r="G11" s="11">
        <f t="shared" si="1"/>
        <v>42500</v>
      </c>
    </row>
    <row r="12" spans="2:7" x14ac:dyDescent="0.25">
      <c r="B12" s="14" t="s">
        <v>11</v>
      </c>
      <c r="C12" s="12">
        <v>5000</v>
      </c>
      <c r="D12" s="12">
        <v>4500</v>
      </c>
      <c r="E12" s="12">
        <v>4000</v>
      </c>
      <c r="F12" s="12">
        <v>2500</v>
      </c>
      <c r="G12" s="11">
        <f t="shared" si="1"/>
        <v>80000</v>
      </c>
    </row>
    <row r="13" spans="2:7" x14ac:dyDescent="0.25">
      <c r="B13" s="14" t="s">
        <v>12</v>
      </c>
      <c r="C13" s="12">
        <v>5000</v>
      </c>
      <c r="D13" s="12">
        <v>2000</v>
      </c>
      <c r="E13" s="12">
        <v>1500</v>
      </c>
      <c r="F13" s="12">
        <v>1500</v>
      </c>
      <c r="G13" s="11">
        <f t="shared" si="1"/>
        <v>50000</v>
      </c>
    </row>
    <row r="14" spans="2:7" x14ac:dyDescent="0.25">
      <c r="B14" s="14" t="s">
        <v>13</v>
      </c>
      <c r="C14" s="12">
        <v>7000</v>
      </c>
      <c r="D14" s="12">
        <v>6500</v>
      </c>
      <c r="E14" s="12">
        <v>5500</v>
      </c>
      <c r="F14" s="12">
        <v>5000</v>
      </c>
      <c r="G14" s="11">
        <f t="shared" si="1"/>
        <v>120000</v>
      </c>
    </row>
    <row r="15" spans="2:7" x14ac:dyDescent="0.25">
      <c r="B15" s="14" t="s">
        <v>14</v>
      </c>
      <c r="C15" s="12">
        <v>4900</v>
      </c>
      <c r="D15" s="12">
        <v>4100</v>
      </c>
      <c r="E15" s="12">
        <v>3400</v>
      </c>
      <c r="F15" s="12">
        <v>2500</v>
      </c>
      <c r="G15" s="11">
        <f t="shared" si="1"/>
        <v>74500</v>
      </c>
    </row>
    <row r="16" spans="2:7" x14ac:dyDescent="0.25">
      <c r="B16" s="14" t="s">
        <v>27</v>
      </c>
      <c r="C16" s="12">
        <v>5000</v>
      </c>
      <c r="D16" s="12">
        <v>4000</v>
      </c>
      <c r="E16" s="12">
        <v>4000</v>
      </c>
      <c r="F16" s="12">
        <v>4000</v>
      </c>
      <c r="G16" s="11">
        <f t="shared" si="1"/>
        <v>85000</v>
      </c>
    </row>
    <row r="17" spans="2:7" x14ac:dyDescent="0.25">
      <c r="B17" s="14"/>
      <c r="C17" s="15">
        <f>SUM(C9:C16)</f>
        <v>41900</v>
      </c>
      <c r="D17" s="15">
        <f t="shared" ref="D17:F17" si="2">SUM(D9:D16)</f>
        <v>35100</v>
      </c>
      <c r="E17" s="15">
        <f t="shared" si="2"/>
        <v>31400</v>
      </c>
      <c r="F17" s="15">
        <f t="shared" si="2"/>
        <v>27000</v>
      </c>
      <c r="G17" s="11">
        <f t="shared" si="1"/>
        <v>677000</v>
      </c>
    </row>
    <row r="18" spans="2:7" x14ac:dyDescent="0.25">
      <c r="B18" s="14" t="s">
        <v>99</v>
      </c>
      <c r="C18" s="12">
        <f>(C9+C10+C11+C12+C13+C14+C16)*0.15</f>
        <v>5550</v>
      </c>
      <c r="D18" s="94">
        <f t="shared" ref="D18:F18" si="3">(D9+D10+D11+D12+D13+D14+D16)*0.15</f>
        <v>4650</v>
      </c>
      <c r="E18" s="94">
        <f t="shared" si="3"/>
        <v>4200</v>
      </c>
      <c r="F18" s="94">
        <f t="shared" si="3"/>
        <v>3675</v>
      </c>
      <c r="G18" s="14"/>
    </row>
    <row r="19" spans="2:7" x14ac:dyDescent="0.25">
      <c r="B19" s="14" t="s">
        <v>17</v>
      </c>
      <c r="C19" s="12">
        <f>C18*5</f>
        <v>27750</v>
      </c>
      <c r="D19" s="12">
        <f>D18*5</f>
        <v>23250</v>
      </c>
      <c r="E19" s="12">
        <f t="shared" ref="E19:F19" si="4">E18*5</f>
        <v>21000</v>
      </c>
      <c r="F19" s="12">
        <f t="shared" si="4"/>
        <v>18375</v>
      </c>
      <c r="G19" s="11">
        <f>SUM(C19:F19)</f>
        <v>90375</v>
      </c>
    </row>
    <row r="20" spans="2:7" x14ac:dyDescent="0.25">
      <c r="B20" s="14"/>
      <c r="C20" s="14"/>
      <c r="D20" s="14"/>
      <c r="E20" s="14"/>
      <c r="F20" s="14" t="s">
        <v>18</v>
      </c>
      <c r="G20" s="19">
        <f>G6+G19</f>
        <v>337875</v>
      </c>
    </row>
    <row r="21" spans="2:7" ht="45" x14ac:dyDescent="0.25">
      <c r="B21" s="14"/>
      <c r="C21" s="14"/>
      <c r="D21" s="14"/>
      <c r="E21" s="14"/>
      <c r="F21" s="16" t="s">
        <v>100</v>
      </c>
      <c r="G21" s="11">
        <v>63250</v>
      </c>
    </row>
    <row r="22" spans="2:7" x14ac:dyDescent="0.25">
      <c r="B22" s="14"/>
      <c r="C22" s="14"/>
      <c r="D22" s="14"/>
      <c r="E22" s="14"/>
      <c r="F22" s="14" t="s">
        <v>19</v>
      </c>
      <c r="G22" s="18">
        <f>G21-G20</f>
        <v>-274625</v>
      </c>
    </row>
    <row r="23" spans="2:7" x14ac:dyDescent="0.25">
      <c r="B23" t="s">
        <v>20</v>
      </c>
      <c r="C23" s="1"/>
      <c r="D23" s="1"/>
      <c r="E23" s="1"/>
      <c r="F23" s="1"/>
    </row>
    <row r="24" spans="2:7" x14ac:dyDescent="0.25">
      <c r="B24" t="s">
        <v>21</v>
      </c>
      <c r="C24" s="1">
        <v>1</v>
      </c>
      <c r="D24" s="1">
        <v>1</v>
      </c>
      <c r="E24" s="1">
        <v>1</v>
      </c>
      <c r="F24" s="1">
        <v>1</v>
      </c>
    </row>
    <row r="25" spans="2:7" x14ac:dyDescent="0.25">
      <c r="B25" t="s">
        <v>22</v>
      </c>
      <c r="C25" s="1">
        <v>2</v>
      </c>
      <c r="D25" s="1">
        <v>2</v>
      </c>
      <c r="E25" s="1">
        <v>2</v>
      </c>
      <c r="F25" s="1">
        <v>2</v>
      </c>
    </row>
    <row r="26" spans="2:7" x14ac:dyDescent="0.25">
      <c r="B26" t="s">
        <v>23</v>
      </c>
      <c r="C26" s="1">
        <v>2</v>
      </c>
      <c r="D26" s="1">
        <v>2</v>
      </c>
      <c r="E26" s="1">
        <v>2</v>
      </c>
      <c r="F26" s="1">
        <v>2</v>
      </c>
    </row>
    <row r="27" spans="2:7" x14ac:dyDescent="0.25">
      <c r="B27" t="s">
        <v>24</v>
      </c>
      <c r="C27" s="1">
        <v>1</v>
      </c>
      <c r="D27" s="1">
        <v>1</v>
      </c>
      <c r="E27" s="1">
        <v>1</v>
      </c>
      <c r="F27" s="1">
        <v>1</v>
      </c>
    </row>
    <row r="30" spans="2:7" x14ac:dyDescent="0.25">
      <c r="B30" t="s">
        <v>101</v>
      </c>
    </row>
  </sheetData>
  <mergeCells count="2">
    <mergeCell ref="B3:F3"/>
    <mergeCell ref="B2:G2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2707D-96DC-44D6-8FFB-EB103EF37458}">
  <sheetPr>
    <pageSetUpPr fitToPage="1"/>
  </sheetPr>
  <dimension ref="B2:G31"/>
  <sheetViews>
    <sheetView topLeftCell="A28" workbookViewId="0">
      <selection activeCell="F32" sqref="F32"/>
    </sheetView>
  </sheetViews>
  <sheetFormatPr defaultRowHeight="15" x14ac:dyDescent="0.25"/>
  <cols>
    <col min="2" max="2" width="34.7109375" bestFit="1" customWidth="1"/>
    <col min="3" max="5" width="22.28515625" customWidth="1"/>
    <col min="6" max="6" width="25.28515625" customWidth="1"/>
    <col min="7" max="7" width="13.85546875" bestFit="1" customWidth="1"/>
  </cols>
  <sheetData>
    <row r="2" spans="2:7" ht="26.25" x14ac:dyDescent="0.4">
      <c r="B2" s="95" t="s">
        <v>0</v>
      </c>
      <c r="C2" s="95"/>
      <c r="D2" s="95"/>
      <c r="E2" s="95"/>
      <c r="F2" s="95"/>
      <c r="G2" s="95"/>
    </row>
    <row r="3" spans="2:7" x14ac:dyDescent="0.25">
      <c r="B3" s="96" t="s">
        <v>28</v>
      </c>
      <c r="C3" s="96"/>
      <c r="D3" s="96"/>
      <c r="E3" s="96"/>
      <c r="F3" s="96"/>
      <c r="G3" s="14"/>
    </row>
    <row r="4" spans="2:7" x14ac:dyDescent="0.25">
      <c r="B4" s="14"/>
      <c r="C4" s="14" t="s">
        <v>2</v>
      </c>
      <c r="D4" s="14" t="s">
        <v>3</v>
      </c>
      <c r="E4" s="14" t="s">
        <v>4</v>
      </c>
      <c r="F4" s="14" t="s">
        <v>5</v>
      </c>
      <c r="G4" s="14"/>
    </row>
    <row r="5" spans="2:7" x14ac:dyDescent="0.25">
      <c r="B5" s="14" t="s">
        <v>6</v>
      </c>
      <c r="C5" s="15">
        <v>2000000</v>
      </c>
      <c r="D5" s="15">
        <v>1600000</v>
      </c>
      <c r="E5" s="15">
        <v>1250000</v>
      </c>
      <c r="F5" s="15">
        <v>1000000</v>
      </c>
      <c r="G5" s="14"/>
    </row>
    <row r="6" spans="2:7" x14ac:dyDescent="0.25">
      <c r="B6" s="14" t="s">
        <v>98</v>
      </c>
      <c r="C6" s="12">
        <f>C5*0.15</f>
        <v>300000</v>
      </c>
      <c r="D6" s="94">
        <f t="shared" ref="D6:F6" si="0">D5*0.15</f>
        <v>240000</v>
      </c>
      <c r="E6" s="94">
        <f t="shared" si="0"/>
        <v>187500</v>
      </c>
      <c r="F6" s="94">
        <f t="shared" si="0"/>
        <v>150000</v>
      </c>
      <c r="G6" s="13">
        <f>SUM(C6:F6)</f>
        <v>877500</v>
      </c>
    </row>
    <row r="7" spans="2:7" x14ac:dyDescent="0.25">
      <c r="B7" s="14"/>
      <c r="C7" s="12"/>
      <c r="D7" s="12"/>
      <c r="E7" s="12"/>
      <c r="F7" s="12"/>
      <c r="G7" s="14"/>
    </row>
    <row r="8" spans="2:7" x14ac:dyDescent="0.25">
      <c r="B8" s="14" t="s">
        <v>7</v>
      </c>
      <c r="C8" s="12"/>
      <c r="D8" s="12"/>
      <c r="E8" s="12"/>
      <c r="F8" s="12"/>
      <c r="G8" s="14"/>
    </row>
    <row r="9" spans="2:7" x14ac:dyDescent="0.25">
      <c r="B9" s="14" t="s">
        <v>8</v>
      </c>
      <c r="C9" s="15">
        <v>20000</v>
      </c>
      <c r="D9" s="15">
        <v>17000</v>
      </c>
      <c r="E9" s="15">
        <v>14000</v>
      </c>
      <c r="F9" s="15">
        <v>12000</v>
      </c>
      <c r="G9" s="11">
        <f>SUM(C9:F9)*5</f>
        <v>315000</v>
      </c>
    </row>
    <row r="10" spans="2:7" x14ac:dyDescent="0.25">
      <c r="B10" s="14" t="s">
        <v>9</v>
      </c>
      <c r="C10" s="15">
        <v>12000</v>
      </c>
      <c r="D10" s="15">
        <v>11000</v>
      </c>
      <c r="E10" s="15">
        <v>9000</v>
      </c>
      <c r="F10" s="15">
        <v>8000</v>
      </c>
      <c r="G10" s="11">
        <f t="shared" ref="G10:G17" si="1">SUM(C10:F10)*5</f>
        <v>200000</v>
      </c>
    </row>
    <row r="11" spans="2:7" x14ac:dyDescent="0.25">
      <c r="B11" s="14" t="s">
        <v>10</v>
      </c>
      <c r="C11" s="12">
        <v>10000</v>
      </c>
      <c r="D11" s="12">
        <v>6000</v>
      </c>
      <c r="E11" s="12">
        <v>6000</v>
      </c>
      <c r="F11" s="12">
        <v>4000</v>
      </c>
      <c r="G11" s="11">
        <f t="shared" si="1"/>
        <v>130000</v>
      </c>
    </row>
    <row r="12" spans="2:7" x14ac:dyDescent="0.25">
      <c r="B12" s="14" t="s">
        <v>11</v>
      </c>
      <c r="C12" s="12">
        <v>15000</v>
      </c>
      <c r="D12" s="12">
        <v>13000</v>
      </c>
      <c r="E12" s="12">
        <v>12000</v>
      </c>
      <c r="F12" s="12">
        <v>12000</v>
      </c>
      <c r="G12" s="11">
        <f t="shared" si="1"/>
        <v>260000</v>
      </c>
    </row>
    <row r="13" spans="2:7" x14ac:dyDescent="0.25">
      <c r="B13" s="14" t="s">
        <v>12</v>
      </c>
      <c r="C13" s="12">
        <v>30000</v>
      </c>
      <c r="D13" s="12">
        <v>10000</v>
      </c>
      <c r="E13" s="12">
        <v>5000</v>
      </c>
      <c r="F13" s="12">
        <v>3000</v>
      </c>
      <c r="G13" s="11">
        <f t="shared" si="1"/>
        <v>240000</v>
      </c>
    </row>
    <row r="14" spans="2:7" x14ac:dyDescent="0.25">
      <c r="B14" s="14" t="s">
        <v>13</v>
      </c>
      <c r="C14" s="12">
        <v>15000</v>
      </c>
      <c r="D14" s="12">
        <v>13000</v>
      </c>
      <c r="E14" s="12">
        <v>12000</v>
      </c>
      <c r="F14" s="12">
        <v>10000</v>
      </c>
      <c r="G14" s="11">
        <f t="shared" si="1"/>
        <v>250000</v>
      </c>
    </row>
    <row r="15" spans="2:7" x14ac:dyDescent="0.25">
      <c r="B15" s="14" t="s">
        <v>14</v>
      </c>
      <c r="C15" s="12">
        <v>18000</v>
      </c>
      <c r="D15" s="12">
        <v>14500</v>
      </c>
      <c r="E15" s="12">
        <v>11200</v>
      </c>
      <c r="F15" s="12">
        <v>9000</v>
      </c>
      <c r="G15" s="11">
        <f t="shared" si="1"/>
        <v>263500</v>
      </c>
    </row>
    <row r="16" spans="2:7" x14ac:dyDescent="0.25">
      <c r="B16" s="14" t="s">
        <v>27</v>
      </c>
      <c r="C16" s="12">
        <v>10000</v>
      </c>
      <c r="D16" s="12">
        <v>8000</v>
      </c>
      <c r="E16" s="12">
        <v>7000</v>
      </c>
      <c r="F16" s="12">
        <v>5000</v>
      </c>
      <c r="G16" s="11">
        <f t="shared" si="1"/>
        <v>150000</v>
      </c>
    </row>
    <row r="17" spans="2:7" x14ac:dyDescent="0.25">
      <c r="B17" s="14"/>
      <c r="C17" s="15">
        <f>SUM(C9:C16)</f>
        <v>130000</v>
      </c>
      <c r="D17" s="15">
        <f t="shared" ref="D17:F17" si="2">SUM(D9:D16)</f>
        <v>92500</v>
      </c>
      <c r="E17" s="15">
        <f t="shared" si="2"/>
        <v>76200</v>
      </c>
      <c r="F17" s="15">
        <f t="shared" si="2"/>
        <v>63000</v>
      </c>
      <c r="G17" s="11">
        <f t="shared" si="1"/>
        <v>1808500</v>
      </c>
    </row>
    <row r="18" spans="2:7" x14ac:dyDescent="0.25">
      <c r="B18" s="14" t="s">
        <v>99</v>
      </c>
      <c r="C18" s="12">
        <f>(C9+C10+C11+C12+C13+C14+C16)*0.15</f>
        <v>16800</v>
      </c>
      <c r="D18" s="94">
        <f t="shared" ref="D18:F18" si="3">(D9+D10+D11+D12+D13+D14+D16)*0.15</f>
        <v>11700</v>
      </c>
      <c r="E18" s="94">
        <f t="shared" si="3"/>
        <v>9750</v>
      </c>
      <c r="F18" s="94">
        <f t="shared" si="3"/>
        <v>8100</v>
      </c>
      <c r="G18" s="14"/>
    </row>
    <row r="19" spans="2:7" x14ac:dyDescent="0.25">
      <c r="B19" s="14" t="s">
        <v>17</v>
      </c>
      <c r="C19" s="12">
        <f>C18*5</f>
        <v>84000</v>
      </c>
      <c r="D19" s="12">
        <f>D18*5</f>
        <v>58500</v>
      </c>
      <c r="E19" s="12">
        <f t="shared" ref="E19:F19" si="4">E18*5</f>
        <v>48750</v>
      </c>
      <c r="F19" s="12">
        <f t="shared" si="4"/>
        <v>40500</v>
      </c>
      <c r="G19" s="11">
        <f>SUM(C19:F19)</f>
        <v>231750</v>
      </c>
    </row>
    <row r="20" spans="2:7" x14ac:dyDescent="0.25">
      <c r="B20" s="14"/>
      <c r="C20" s="14"/>
      <c r="D20" s="14"/>
      <c r="E20" s="14"/>
      <c r="F20" s="14" t="s">
        <v>18</v>
      </c>
      <c r="G20" s="19">
        <f>G6+G19</f>
        <v>1109250</v>
      </c>
    </row>
    <row r="21" spans="2:7" ht="45" x14ac:dyDescent="0.25">
      <c r="B21" s="14"/>
      <c r="C21" s="14"/>
      <c r="D21" s="14"/>
      <c r="E21" s="14"/>
      <c r="F21" s="16" t="s">
        <v>100</v>
      </c>
      <c r="G21" s="11">
        <v>230000</v>
      </c>
    </row>
    <row r="22" spans="2:7" x14ac:dyDescent="0.25">
      <c r="B22" s="14"/>
      <c r="C22" s="14"/>
      <c r="D22" s="14"/>
      <c r="E22" s="14"/>
      <c r="F22" s="14" t="s">
        <v>19</v>
      </c>
      <c r="G22" s="18">
        <f>G21-G20</f>
        <v>-879250</v>
      </c>
    </row>
    <row r="23" spans="2:7" x14ac:dyDescent="0.25">
      <c r="B23" t="s">
        <v>20</v>
      </c>
      <c r="C23" s="1"/>
      <c r="D23" s="1"/>
      <c r="E23" s="1"/>
      <c r="F23" s="1"/>
    </row>
    <row r="24" spans="2:7" x14ac:dyDescent="0.25">
      <c r="B24" t="s">
        <v>21</v>
      </c>
      <c r="C24" s="1">
        <v>1</v>
      </c>
      <c r="D24" s="1">
        <v>1</v>
      </c>
      <c r="E24" s="1">
        <v>1</v>
      </c>
      <c r="F24" s="1">
        <v>1</v>
      </c>
    </row>
    <row r="25" spans="2:7" x14ac:dyDescent="0.25">
      <c r="B25" t="s">
        <v>22</v>
      </c>
      <c r="C25" s="1">
        <v>2</v>
      </c>
      <c r="D25" s="1">
        <v>2</v>
      </c>
      <c r="E25" s="1">
        <v>2</v>
      </c>
      <c r="F25" s="1">
        <v>2</v>
      </c>
    </row>
    <row r="26" spans="2:7" x14ac:dyDescent="0.25">
      <c r="B26" t="s">
        <v>23</v>
      </c>
      <c r="C26" s="1">
        <v>2</v>
      </c>
      <c r="D26" s="1">
        <v>2</v>
      </c>
      <c r="E26" s="1">
        <v>2</v>
      </c>
      <c r="F26" s="1">
        <v>2</v>
      </c>
    </row>
    <row r="27" spans="2:7" x14ac:dyDescent="0.25">
      <c r="B27" t="s">
        <v>24</v>
      </c>
      <c r="C27" s="1">
        <v>1</v>
      </c>
      <c r="D27" s="1">
        <v>1</v>
      </c>
      <c r="E27" s="1">
        <v>1</v>
      </c>
      <c r="F27" s="1">
        <v>1</v>
      </c>
    </row>
    <row r="28" spans="2:7" x14ac:dyDescent="0.25">
      <c r="B28" t="s">
        <v>29</v>
      </c>
      <c r="C28" s="1">
        <v>1</v>
      </c>
    </row>
    <row r="31" spans="2:7" x14ac:dyDescent="0.25">
      <c r="B31" t="s">
        <v>101</v>
      </c>
    </row>
  </sheetData>
  <mergeCells count="2">
    <mergeCell ref="B3:F3"/>
    <mergeCell ref="B2:G2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24D11-9930-4A23-BA90-54D828E9474A}">
  <dimension ref="B2:F10"/>
  <sheetViews>
    <sheetView tabSelected="1" zoomScale="85" zoomScaleNormal="85" workbookViewId="0">
      <selection activeCell="C12" sqref="C12"/>
    </sheetView>
  </sheetViews>
  <sheetFormatPr defaultRowHeight="15" x14ac:dyDescent="0.25"/>
  <cols>
    <col min="2" max="2" width="21.85546875" bestFit="1" customWidth="1"/>
    <col min="3" max="3" width="27.140625" customWidth="1"/>
    <col min="4" max="4" width="30.7109375" customWidth="1"/>
    <col min="5" max="5" width="31.28515625" customWidth="1"/>
    <col min="6" max="6" width="36.85546875" customWidth="1"/>
  </cols>
  <sheetData>
    <row r="2" spans="2:6" ht="15.75" thickBot="1" x14ac:dyDescent="0.3"/>
    <row r="3" spans="2:6" s="3" customFormat="1" ht="18.75" x14ac:dyDescent="0.3">
      <c r="B3" s="4" t="s">
        <v>30</v>
      </c>
      <c r="C3" s="4" t="s">
        <v>31</v>
      </c>
      <c r="D3" s="4" t="s">
        <v>32</v>
      </c>
      <c r="E3" s="4" t="s">
        <v>33</v>
      </c>
      <c r="F3" s="4" t="s">
        <v>34</v>
      </c>
    </row>
    <row r="4" spans="2:6" s="3" customFormat="1" ht="115.9" customHeight="1" x14ac:dyDescent="0.3">
      <c r="B4" s="9"/>
      <c r="C4" s="9"/>
      <c r="D4" s="5"/>
      <c r="E4" s="5"/>
      <c r="F4" s="5"/>
    </row>
    <row r="5" spans="2:6" x14ac:dyDescent="0.25">
      <c r="B5" s="5" t="s">
        <v>35</v>
      </c>
      <c r="C5" s="93">
        <v>508000</v>
      </c>
      <c r="D5" s="6">
        <v>350000</v>
      </c>
      <c r="E5" s="6">
        <v>550000</v>
      </c>
      <c r="F5" s="6">
        <v>2000000</v>
      </c>
    </row>
    <row r="6" spans="2:6" x14ac:dyDescent="0.25">
      <c r="B6" s="5" t="s">
        <v>36</v>
      </c>
      <c r="C6" s="7">
        <v>193200</v>
      </c>
      <c r="D6" s="7">
        <v>154500</v>
      </c>
      <c r="E6" s="7">
        <v>247500</v>
      </c>
      <c r="F6" s="7">
        <v>877500</v>
      </c>
    </row>
    <row r="7" spans="2:6" x14ac:dyDescent="0.25">
      <c r="B7" s="5" t="s">
        <v>37</v>
      </c>
      <c r="C7" s="7">
        <v>39600</v>
      </c>
      <c r="D7" s="7">
        <v>65437.5</v>
      </c>
      <c r="E7" s="7">
        <v>90375</v>
      </c>
      <c r="F7" s="7">
        <v>231750</v>
      </c>
    </row>
    <row r="8" spans="2:6" x14ac:dyDescent="0.25">
      <c r="B8" s="5" t="s">
        <v>38</v>
      </c>
      <c r="C8" s="7">
        <f>SUM(C6:C7)</f>
        <v>232800</v>
      </c>
      <c r="D8" s="7">
        <f>SUM(D6:D7)</f>
        <v>219937.5</v>
      </c>
      <c r="E8" s="7">
        <f>SUM(E6:E7)</f>
        <v>337875</v>
      </c>
      <c r="F8" s="7">
        <f>SUM(F6:F7)</f>
        <v>1109250</v>
      </c>
    </row>
    <row r="9" spans="2:6" x14ac:dyDescent="0.25">
      <c r="B9" s="5" t="s">
        <v>39</v>
      </c>
      <c r="C9" s="7">
        <v>58420</v>
      </c>
      <c r="D9" s="7">
        <v>22600</v>
      </c>
      <c r="E9" s="7">
        <v>63250</v>
      </c>
      <c r="F9" s="7">
        <v>230000</v>
      </c>
    </row>
    <row r="10" spans="2:6" ht="15.75" thickBot="1" x14ac:dyDescent="0.3">
      <c r="B10" s="10" t="s">
        <v>40</v>
      </c>
      <c r="C10" s="8">
        <f>C9-C8</f>
        <v>-174380</v>
      </c>
      <c r="D10" s="8">
        <f>D9-D8</f>
        <v>-197337.5</v>
      </c>
      <c r="E10" s="8">
        <f>E9-E8</f>
        <v>-274625</v>
      </c>
      <c r="F10" s="8">
        <f>F9-F8</f>
        <v>-879250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3FF88-FBF6-4E68-B27A-8599AA17A5D9}">
  <dimension ref="A1:X144"/>
  <sheetViews>
    <sheetView topLeftCell="A101" workbookViewId="0">
      <selection activeCell="K105" sqref="K105"/>
    </sheetView>
  </sheetViews>
  <sheetFormatPr defaultColWidth="10" defaultRowHeight="12.75" x14ac:dyDescent="0.2"/>
  <cols>
    <col min="1" max="1" width="11.28515625" style="26" customWidth="1"/>
    <col min="2" max="2" width="11.28515625" style="35" bestFit="1" customWidth="1"/>
    <col min="3" max="3" width="12.28515625" style="25" bestFit="1" customWidth="1"/>
    <col min="4" max="4" width="10" style="25"/>
    <col min="5" max="5" width="1" style="26" customWidth="1"/>
    <col min="6" max="18" width="9.5703125" style="26" customWidth="1"/>
    <col min="19" max="19" width="1.140625" style="26" customWidth="1"/>
    <col min="20" max="24" width="9" style="27" customWidth="1"/>
    <col min="25" max="16384" width="10" style="26"/>
  </cols>
  <sheetData>
    <row r="1" spans="1:24" s="23" customFormat="1" ht="14.25" customHeight="1" x14ac:dyDescent="0.2">
      <c r="A1" s="20" t="s">
        <v>41</v>
      </c>
      <c r="B1" s="21"/>
      <c r="C1" s="22" t="s">
        <v>103</v>
      </c>
      <c r="D1" s="22"/>
      <c r="T1" s="24"/>
      <c r="U1" s="24"/>
      <c r="V1" s="24"/>
      <c r="W1" s="24"/>
      <c r="X1" s="24"/>
    </row>
    <row r="2" spans="1:24" ht="14.25" customHeight="1" x14ac:dyDescent="0.25">
      <c r="A2" s="104" t="s">
        <v>42</v>
      </c>
      <c r="B2" s="105"/>
      <c r="C2" s="105"/>
    </row>
    <row r="3" spans="1:24" s="23" customFormat="1" ht="14.25" customHeight="1" x14ac:dyDescent="0.2">
      <c r="A3" s="109" t="s">
        <v>43</v>
      </c>
      <c r="B3" s="109"/>
      <c r="C3" s="109"/>
      <c r="D3" s="22"/>
    </row>
    <row r="4" spans="1:24" s="23" customFormat="1" ht="6" customHeight="1" x14ac:dyDescent="0.2">
      <c r="A4" s="28"/>
      <c r="B4" s="28"/>
      <c r="C4" s="28"/>
      <c r="D4" s="22"/>
    </row>
    <row r="5" spans="1:24" s="23" customFormat="1" ht="14.25" customHeight="1" x14ac:dyDescent="0.2">
      <c r="A5" s="106" t="s">
        <v>44</v>
      </c>
      <c r="B5" s="107"/>
      <c r="C5" s="107"/>
      <c r="D5" s="108"/>
      <c r="F5" s="101" t="s">
        <v>45</v>
      </c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3"/>
    </row>
    <row r="6" spans="1:24" s="23" customFormat="1" ht="14.25" customHeight="1" x14ac:dyDescent="0.2">
      <c r="A6" s="99" t="s">
        <v>46</v>
      </c>
      <c r="B6" s="100"/>
      <c r="D6" s="29"/>
      <c r="F6" s="66" t="s">
        <v>47</v>
      </c>
      <c r="G6" s="97" t="s">
        <v>48</v>
      </c>
      <c r="H6" s="97"/>
      <c r="I6" s="97" t="s">
        <v>49</v>
      </c>
      <c r="J6" s="97"/>
      <c r="K6" s="97" t="s">
        <v>50</v>
      </c>
      <c r="L6" s="97"/>
      <c r="M6" s="97" t="s">
        <v>51</v>
      </c>
      <c r="N6" s="97"/>
      <c r="O6" s="97" t="s">
        <v>52</v>
      </c>
      <c r="P6" s="97"/>
      <c r="Q6" s="97" t="s">
        <v>53</v>
      </c>
      <c r="R6" s="98"/>
    </row>
    <row r="7" spans="1:24" s="24" customFormat="1" ht="33.75" customHeight="1" x14ac:dyDescent="0.2">
      <c r="A7" s="30"/>
      <c r="B7" s="31" t="s">
        <v>54</v>
      </c>
      <c r="C7" s="32" t="s">
        <v>55</v>
      </c>
      <c r="D7" s="33" t="s">
        <v>56</v>
      </c>
      <c r="F7" s="67" t="s">
        <v>57</v>
      </c>
      <c r="G7" s="68" t="s">
        <v>58</v>
      </c>
      <c r="H7" s="68" t="s">
        <v>59</v>
      </c>
      <c r="I7" s="68" t="s">
        <v>58</v>
      </c>
      <c r="J7" s="68" t="s">
        <v>59</v>
      </c>
      <c r="K7" s="68" t="s">
        <v>58</v>
      </c>
      <c r="L7" s="68" t="s">
        <v>59</v>
      </c>
      <c r="M7" s="68" t="s">
        <v>58</v>
      </c>
      <c r="N7" s="68" t="s">
        <v>59</v>
      </c>
      <c r="O7" s="68" t="s">
        <v>60</v>
      </c>
      <c r="P7" s="68" t="s">
        <v>59</v>
      </c>
      <c r="Q7" s="68" t="s">
        <v>61</v>
      </c>
      <c r="R7" s="69" t="s">
        <v>62</v>
      </c>
    </row>
    <row r="8" spans="1:24" ht="14.25" customHeight="1" x14ac:dyDescent="0.2">
      <c r="A8" s="34" t="s">
        <v>63</v>
      </c>
      <c r="B8" s="35">
        <v>42856</v>
      </c>
      <c r="C8" s="36">
        <v>558096</v>
      </c>
      <c r="D8" s="37">
        <f>C8*0.13</f>
        <v>72552.479999999996</v>
      </c>
      <c r="F8" s="70">
        <f>C8*0.0225</f>
        <v>12557.16</v>
      </c>
      <c r="G8" s="71">
        <v>42.5</v>
      </c>
      <c r="H8" s="36">
        <f>G8*36</f>
        <v>1530</v>
      </c>
      <c r="I8" s="43">
        <f>8*3.5</f>
        <v>28</v>
      </c>
      <c r="J8" s="50">
        <f>I8*34</f>
        <v>952</v>
      </c>
      <c r="K8" s="43">
        <v>12</v>
      </c>
      <c r="L8" s="50">
        <f>K8*23</f>
        <v>276</v>
      </c>
      <c r="M8" s="43">
        <f>8*1.5</f>
        <v>12</v>
      </c>
      <c r="N8" s="50">
        <f>M8*24</f>
        <v>288</v>
      </c>
      <c r="O8" s="26">
        <v>12</v>
      </c>
      <c r="P8" s="26">
        <f>O8*28</f>
        <v>336</v>
      </c>
      <c r="Q8" s="72">
        <f>G8+I8+K8+M8+O8</f>
        <v>106.5</v>
      </c>
      <c r="R8" s="73">
        <f>F8+H8+J8+L8+N8+P8</f>
        <v>15939.16</v>
      </c>
    </row>
    <row r="9" spans="1:24" ht="14.25" customHeight="1" x14ac:dyDescent="0.2">
      <c r="A9" s="34" t="s">
        <v>64</v>
      </c>
      <c r="B9" s="35">
        <v>43647</v>
      </c>
      <c r="C9" s="36">
        <v>457800</v>
      </c>
      <c r="D9" s="37">
        <f t="shared" ref="D9:D10" si="0">C9*0.13</f>
        <v>59514</v>
      </c>
      <c r="F9" s="70">
        <f>C9*0.0225</f>
        <v>10300.5</v>
      </c>
      <c r="G9" s="71">
        <v>24</v>
      </c>
      <c r="H9" s="36">
        <f t="shared" ref="H9:H10" si="1">G9*36</f>
        <v>864</v>
      </c>
      <c r="I9" s="43">
        <v>32</v>
      </c>
      <c r="J9" s="50">
        <f t="shared" ref="J9:J10" si="2">I9*34</f>
        <v>1088</v>
      </c>
      <c r="K9" s="43">
        <f>8*2.5</f>
        <v>20</v>
      </c>
      <c r="L9" s="50">
        <f t="shared" ref="L9:L10" si="3">K9*23</f>
        <v>460</v>
      </c>
      <c r="M9" s="43">
        <v>12</v>
      </c>
      <c r="N9" s="50">
        <f t="shared" ref="N9:N10" si="4">M9*24</f>
        <v>288</v>
      </c>
      <c r="O9" s="26">
        <v>8</v>
      </c>
      <c r="P9" s="26">
        <f t="shared" ref="P9:P10" si="5">O9*28</f>
        <v>224</v>
      </c>
      <c r="Q9" s="72">
        <f t="shared" ref="Q9:Q10" si="6">G9+I9+K9+M9+O9</f>
        <v>96</v>
      </c>
      <c r="R9" s="73">
        <f t="shared" ref="R9:R10" si="7">F9+H9+J9+L9+N9+P9</f>
        <v>13224.5</v>
      </c>
    </row>
    <row r="10" spans="1:24" ht="14.25" customHeight="1" x14ac:dyDescent="0.2">
      <c r="A10" s="34" t="s">
        <v>64</v>
      </c>
      <c r="B10" s="35">
        <v>44287</v>
      </c>
      <c r="C10" s="36">
        <v>449900</v>
      </c>
      <c r="D10" s="37">
        <f t="shared" si="0"/>
        <v>58487</v>
      </c>
      <c r="F10" s="70">
        <f>C10*0.0225</f>
        <v>10122.75</v>
      </c>
      <c r="G10" s="71">
        <v>32</v>
      </c>
      <c r="H10" s="36">
        <f t="shared" si="1"/>
        <v>1152</v>
      </c>
      <c r="I10" s="43">
        <v>40</v>
      </c>
      <c r="J10" s="50">
        <f t="shared" si="2"/>
        <v>1360</v>
      </c>
      <c r="K10" s="43">
        <v>24</v>
      </c>
      <c r="L10" s="50">
        <f t="shared" si="3"/>
        <v>552</v>
      </c>
      <c r="M10" s="43">
        <v>12</v>
      </c>
      <c r="N10" s="50">
        <f t="shared" si="4"/>
        <v>288</v>
      </c>
      <c r="O10" s="26">
        <v>8</v>
      </c>
      <c r="P10" s="26">
        <f t="shared" si="5"/>
        <v>224</v>
      </c>
      <c r="Q10" s="72">
        <f t="shared" si="6"/>
        <v>116</v>
      </c>
      <c r="R10" s="73">
        <f t="shared" si="7"/>
        <v>13698.75</v>
      </c>
    </row>
    <row r="11" spans="1:24" ht="14.25" customHeight="1" x14ac:dyDescent="0.2">
      <c r="A11" s="38" t="s">
        <v>53</v>
      </c>
      <c r="C11" s="39">
        <f>SUM(C8:C10)</f>
        <v>1465796</v>
      </c>
      <c r="D11" s="40">
        <f>SUM(D8:D10)</f>
        <v>190553.47999999998</v>
      </c>
      <c r="E11" s="20"/>
      <c r="F11" s="74">
        <f>SUM(F8:F10)</f>
        <v>32980.410000000003</v>
      </c>
      <c r="G11" s="75"/>
      <c r="H11" s="56">
        <f>SUM(H8:H10)</f>
        <v>3546</v>
      </c>
      <c r="I11" s="76"/>
      <c r="J11" s="60">
        <f>SUM(J8:J10)</f>
        <v>3400</v>
      </c>
      <c r="K11" s="76"/>
      <c r="L11" s="60">
        <f>SUM(L8:L10)</f>
        <v>1288</v>
      </c>
      <c r="M11" s="76"/>
      <c r="N11" s="60">
        <f>SUM(N8:N10)</f>
        <v>864</v>
      </c>
      <c r="O11" s="77"/>
      <c r="P11" s="78">
        <f>SUM(P8:P10)</f>
        <v>784</v>
      </c>
      <c r="Q11" s="77"/>
      <c r="R11" s="79">
        <f>SUM(R8:R10)</f>
        <v>42862.41</v>
      </c>
    </row>
    <row r="12" spans="1:24" ht="14.25" customHeight="1" x14ac:dyDescent="0.2">
      <c r="A12" s="38"/>
      <c r="C12" s="39"/>
      <c r="D12" s="40"/>
      <c r="E12" s="20"/>
      <c r="F12" s="41"/>
      <c r="G12" s="42"/>
      <c r="H12" s="41"/>
      <c r="I12" s="43"/>
      <c r="J12" s="44"/>
      <c r="K12" s="43"/>
      <c r="L12" s="44"/>
      <c r="M12" s="43"/>
      <c r="N12" s="44"/>
      <c r="P12" s="20"/>
      <c r="R12" s="44"/>
      <c r="T12" s="45"/>
      <c r="U12" s="45"/>
      <c r="V12" s="46"/>
    </row>
    <row r="13" spans="1:24" ht="14.25" customHeight="1" x14ac:dyDescent="0.2">
      <c r="A13" s="47" t="s">
        <v>65</v>
      </c>
      <c r="C13" s="39"/>
      <c r="D13" s="40"/>
      <c r="E13" s="20"/>
      <c r="F13" s="101" t="s">
        <v>66</v>
      </c>
      <c r="G13" s="102"/>
      <c r="H13" s="102"/>
      <c r="I13" s="102"/>
      <c r="J13" s="103"/>
      <c r="T13" s="45"/>
      <c r="U13" s="45"/>
      <c r="V13" s="46"/>
    </row>
    <row r="14" spans="1:24" ht="22.5" x14ac:dyDescent="0.2">
      <c r="A14" s="34" t="s">
        <v>67</v>
      </c>
      <c r="C14" s="36">
        <v>6000</v>
      </c>
      <c r="D14" s="37">
        <f>C14*0.13</f>
        <v>780</v>
      </c>
      <c r="E14" s="20"/>
      <c r="F14" s="81" t="s">
        <v>68</v>
      </c>
      <c r="G14" s="68" t="s">
        <v>69</v>
      </c>
      <c r="H14" s="68" t="s">
        <v>56</v>
      </c>
      <c r="I14" s="68" t="s">
        <v>70</v>
      </c>
      <c r="J14" s="69" t="s">
        <v>71</v>
      </c>
      <c r="T14" s="45"/>
      <c r="U14" s="45"/>
      <c r="V14" s="46"/>
    </row>
    <row r="15" spans="1:24" ht="14.25" customHeight="1" x14ac:dyDescent="0.2">
      <c r="A15" s="34" t="s">
        <v>72</v>
      </c>
      <c r="C15" s="36">
        <f>50*32*3.8*1.35</f>
        <v>8208</v>
      </c>
      <c r="D15" s="37">
        <f>C15*0.13</f>
        <v>1067.04</v>
      </c>
      <c r="E15" s="20"/>
      <c r="F15" s="92">
        <f>(C8-250000)*0.2</f>
        <v>61619.200000000004</v>
      </c>
      <c r="G15" s="84">
        <f>C8*0.1</f>
        <v>55809.600000000006</v>
      </c>
      <c r="H15" s="83">
        <f>(C8+G15)*0.13</f>
        <v>79807.728000000003</v>
      </c>
      <c r="I15" s="84">
        <f>SUM(G15:H15)</f>
        <v>135617.32800000001</v>
      </c>
      <c r="J15" s="91">
        <f>I15/C8</f>
        <v>0.24300000000000002</v>
      </c>
      <c r="T15" s="45"/>
      <c r="U15" s="45"/>
      <c r="V15" s="46"/>
    </row>
    <row r="16" spans="1:24" ht="14.25" customHeight="1" x14ac:dyDescent="0.2">
      <c r="A16" s="34" t="s">
        <v>14</v>
      </c>
      <c r="C16" s="36">
        <f>C8*0.0085</f>
        <v>4743.8160000000007</v>
      </c>
      <c r="D16" s="37">
        <v>0</v>
      </c>
      <c r="E16" s="20"/>
      <c r="T16" s="45"/>
      <c r="U16" s="45"/>
      <c r="V16" s="46"/>
    </row>
    <row r="17" spans="1:22" ht="14.25" customHeight="1" x14ac:dyDescent="0.2">
      <c r="A17" s="34" t="s">
        <v>73</v>
      </c>
      <c r="C17" s="36">
        <v>3500</v>
      </c>
      <c r="D17" s="37">
        <f>C17*0.13</f>
        <v>455</v>
      </c>
      <c r="E17" s="20"/>
      <c r="F17" s="114" t="s">
        <v>74</v>
      </c>
      <c r="G17" s="115"/>
      <c r="H17" s="115"/>
      <c r="I17" s="115"/>
      <c r="J17" s="116"/>
      <c r="T17" s="45"/>
      <c r="U17" s="45"/>
      <c r="V17" s="46"/>
    </row>
    <row r="18" spans="1:22" ht="14.25" customHeight="1" x14ac:dyDescent="0.2">
      <c r="A18" s="34" t="s">
        <v>75</v>
      </c>
      <c r="C18" s="36">
        <v>2000</v>
      </c>
      <c r="D18" s="37">
        <f>C18*0.13</f>
        <v>260</v>
      </c>
      <c r="E18" s="20"/>
      <c r="F18" s="117" t="s">
        <v>76</v>
      </c>
      <c r="G18" s="118"/>
      <c r="H18" s="118"/>
      <c r="I18" s="48">
        <f>G15</f>
        <v>55809.600000000006</v>
      </c>
      <c r="J18" s="49"/>
      <c r="T18" s="45"/>
      <c r="U18" s="45"/>
      <c r="V18" s="46"/>
    </row>
    <row r="19" spans="1:22" ht="14.25" customHeight="1" x14ac:dyDescent="0.2">
      <c r="A19" s="34" t="s">
        <v>77</v>
      </c>
      <c r="C19" s="36">
        <v>1500</v>
      </c>
      <c r="D19" s="37">
        <f>C19*0.13</f>
        <v>195</v>
      </c>
      <c r="E19" s="20"/>
      <c r="F19" s="112" t="s">
        <v>78</v>
      </c>
      <c r="G19" s="113"/>
      <c r="H19" s="113"/>
      <c r="I19" s="48">
        <f>H15-D8</f>
        <v>7255.2480000000069</v>
      </c>
      <c r="J19" s="49"/>
      <c r="T19" s="45"/>
      <c r="U19" s="45"/>
      <c r="V19" s="46"/>
    </row>
    <row r="20" spans="1:22" ht="14.25" customHeight="1" x14ac:dyDescent="0.2">
      <c r="A20" s="34" t="s">
        <v>79</v>
      </c>
      <c r="C20" s="36">
        <v>1500</v>
      </c>
      <c r="D20" s="37">
        <f>C20*0.13</f>
        <v>195</v>
      </c>
      <c r="E20" s="20"/>
      <c r="F20" s="112" t="s">
        <v>80</v>
      </c>
      <c r="G20" s="113"/>
      <c r="H20" s="113"/>
      <c r="I20" s="50">
        <f>-D8</f>
        <v>-72552.479999999996</v>
      </c>
      <c r="J20" s="51"/>
      <c r="T20" s="45"/>
      <c r="U20" s="45"/>
      <c r="V20" s="46"/>
    </row>
    <row r="21" spans="1:22" ht="14.25" customHeight="1" x14ac:dyDescent="0.2">
      <c r="A21" s="34" t="s">
        <v>81</v>
      </c>
      <c r="C21" s="39">
        <f>SUM(C14:C20)</f>
        <v>27451.815999999999</v>
      </c>
      <c r="D21" s="40">
        <f>SUM(D14:D20)</f>
        <v>2952.04</v>
      </c>
      <c r="E21" s="20"/>
      <c r="F21" s="110" t="s">
        <v>82</v>
      </c>
      <c r="G21" s="111"/>
      <c r="H21" s="111"/>
      <c r="I21" s="44">
        <f>SUM(I18:I20)</f>
        <v>-9487.6319999999832</v>
      </c>
      <c r="J21" s="51"/>
      <c r="T21" s="45"/>
      <c r="U21" s="45"/>
      <c r="V21" s="46"/>
    </row>
    <row r="22" spans="1:22" ht="14.25" customHeight="1" x14ac:dyDescent="0.2">
      <c r="A22" s="34" t="s">
        <v>83</v>
      </c>
      <c r="C22" s="36">
        <v>5</v>
      </c>
      <c r="D22" s="37">
        <v>5</v>
      </c>
      <c r="E22" s="20"/>
      <c r="F22" s="52" t="s">
        <v>84</v>
      </c>
      <c r="G22" s="53"/>
      <c r="H22" s="53"/>
      <c r="I22" s="50">
        <f>-SUM(D9:D10)</f>
        <v>-118001</v>
      </c>
      <c r="J22" s="51"/>
      <c r="T22" s="45"/>
      <c r="U22" s="45"/>
      <c r="V22" s="46"/>
    </row>
    <row r="23" spans="1:22" ht="14.25" customHeight="1" x14ac:dyDescent="0.2">
      <c r="A23" s="34" t="s">
        <v>85</v>
      </c>
      <c r="C23" s="39">
        <f>C21*C22</f>
        <v>137259.07999999999</v>
      </c>
      <c r="D23" s="40">
        <f>D21*D22</f>
        <v>14760.2</v>
      </c>
      <c r="E23" s="20"/>
      <c r="F23" s="52" t="s">
        <v>86</v>
      </c>
      <c r="G23" s="53"/>
      <c r="H23" s="53"/>
      <c r="I23" s="50">
        <f>-D23</f>
        <v>-14760.2</v>
      </c>
      <c r="J23" s="51"/>
      <c r="T23" s="45"/>
      <c r="U23" s="45"/>
      <c r="V23" s="46"/>
    </row>
    <row r="24" spans="1:22" ht="14.25" customHeight="1" x14ac:dyDescent="0.2">
      <c r="A24" s="54"/>
      <c r="B24" s="55"/>
      <c r="C24" s="56"/>
      <c r="D24" s="57"/>
      <c r="E24" s="20"/>
      <c r="F24" s="58" t="s">
        <v>87</v>
      </c>
      <c r="G24" s="59"/>
      <c r="H24" s="59"/>
      <c r="I24" s="60">
        <f>SUM(I21:I23)</f>
        <v>-142248.83199999999</v>
      </c>
      <c r="J24" s="61"/>
      <c r="T24" s="45"/>
      <c r="U24" s="45"/>
      <c r="V24" s="46"/>
    </row>
    <row r="25" spans="1:22" ht="14.25" customHeight="1" thickBot="1" x14ac:dyDescent="0.25">
      <c r="A25" s="62"/>
      <c r="B25" s="63"/>
      <c r="C25" s="64"/>
      <c r="D25" s="64"/>
      <c r="E25" s="65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T25" s="45"/>
      <c r="U25" s="45"/>
      <c r="V25" s="46"/>
    </row>
    <row r="26" spans="1:22" ht="14.25" customHeight="1" thickTop="1" x14ac:dyDescent="0.2">
      <c r="C26" s="41"/>
      <c r="D26" s="41"/>
      <c r="E26" s="20"/>
      <c r="T26" s="45"/>
      <c r="U26" s="45"/>
      <c r="V26" s="46"/>
    </row>
    <row r="27" spans="1:22" ht="14.25" customHeight="1" x14ac:dyDescent="0.2">
      <c r="A27" s="20" t="s">
        <v>88</v>
      </c>
      <c r="C27" s="25" t="s">
        <v>103</v>
      </c>
    </row>
    <row r="28" spans="1:22" ht="14.25" customHeight="1" x14ac:dyDescent="0.2">
      <c r="A28" s="20" t="s">
        <v>89</v>
      </c>
    </row>
    <row r="29" spans="1:22" ht="14.25" customHeight="1" x14ac:dyDescent="0.2">
      <c r="A29" s="26" t="s">
        <v>90</v>
      </c>
    </row>
    <row r="30" spans="1:22" s="23" customFormat="1" ht="6" customHeight="1" x14ac:dyDescent="0.2">
      <c r="A30" s="28"/>
      <c r="B30" s="28"/>
      <c r="C30" s="28"/>
      <c r="D30" s="22"/>
    </row>
    <row r="31" spans="1:22" s="23" customFormat="1" ht="14.25" customHeight="1" x14ac:dyDescent="0.2">
      <c r="A31" s="106" t="s">
        <v>44</v>
      </c>
      <c r="B31" s="107"/>
      <c r="C31" s="107"/>
      <c r="D31" s="108"/>
      <c r="F31" s="101" t="s">
        <v>45</v>
      </c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3"/>
    </row>
    <row r="32" spans="1:22" s="23" customFormat="1" ht="14.25" customHeight="1" x14ac:dyDescent="0.2">
      <c r="A32" s="99" t="s">
        <v>46</v>
      </c>
      <c r="B32" s="100"/>
      <c r="D32" s="29"/>
      <c r="F32" s="66" t="s">
        <v>47</v>
      </c>
      <c r="G32" s="97" t="s">
        <v>48</v>
      </c>
      <c r="H32" s="97"/>
      <c r="I32" s="97" t="s">
        <v>49</v>
      </c>
      <c r="J32" s="97"/>
      <c r="K32" s="97" t="s">
        <v>50</v>
      </c>
      <c r="L32" s="97"/>
      <c r="M32" s="97" t="s">
        <v>51</v>
      </c>
      <c r="N32" s="97"/>
      <c r="O32" s="97" t="s">
        <v>52</v>
      </c>
      <c r="P32" s="97"/>
      <c r="Q32" s="97" t="s">
        <v>53</v>
      </c>
      <c r="R32" s="98"/>
    </row>
    <row r="33" spans="1:24" s="24" customFormat="1" ht="33.75" customHeight="1" x14ac:dyDescent="0.2">
      <c r="A33" s="30"/>
      <c r="B33" s="31" t="s">
        <v>54</v>
      </c>
      <c r="C33" s="32" t="s">
        <v>55</v>
      </c>
      <c r="D33" s="33" t="s">
        <v>56</v>
      </c>
      <c r="F33" s="67" t="s">
        <v>57</v>
      </c>
      <c r="G33" s="68" t="s">
        <v>58</v>
      </c>
      <c r="H33" s="68" t="s">
        <v>59</v>
      </c>
      <c r="I33" s="68" t="s">
        <v>58</v>
      </c>
      <c r="J33" s="68" t="s">
        <v>59</v>
      </c>
      <c r="K33" s="68" t="s">
        <v>58</v>
      </c>
      <c r="L33" s="68" t="s">
        <v>59</v>
      </c>
      <c r="M33" s="68" t="s">
        <v>58</v>
      </c>
      <c r="N33" s="68" t="s">
        <v>59</v>
      </c>
      <c r="O33" s="68" t="s">
        <v>60</v>
      </c>
      <c r="P33" s="68" t="s">
        <v>59</v>
      </c>
      <c r="Q33" s="68" t="s">
        <v>61</v>
      </c>
      <c r="R33" s="69" t="s">
        <v>62</v>
      </c>
    </row>
    <row r="34" spans="1:24" ht="14.25" customHeight="1" x14ac:dyDescent="0.2">
      <c r="A34" s="34" t="s">
        <v>63</v>
      </c>
      <c r="B34" s="35">
        <v>40299</v>
      </c>
      <c r="C34" s="36">
        <v>356300</v>
      </c>
      <c r="D34" s="37">
        <f>C34*0.13</f>
        <v>46319</v>
      </c>
      <c r="F34" s="70">
        <f>C34*0.0225</f>
        <v>8016.75</v>
      </c>
      <c r="G34" s="71">
        <v>58</v>
      </c>
      <c r="H34" s="36">
        <f>G34*36</f>
        <v>2088</v>
      </c>
      <c r="I34" s="43">
        <v>32</v>
      </c>
      <c r="J34" s="50">
        <f>I34*34</f>
        <v>1088</v>
      </c>
      <c r="K34" s="43">
        <v>12</v>
      </c>
      <c r="L34" s="50">
        <f>K34*23</f>
        <v>276</v>
      </c>
      <c r="M34" s="43">
        <f>8*1.5</f>
        <v>12</v>
      </c>
      <c r="N34" s="50">
        <f>M34*24</f>
        <v>288</v>
      </c>
      <c r="O34" s="26">
        <v>12</v>
      </c>
      <c r="P34" s="26">
        <f>O34*28</f>
        <v>336</v>
      </c>
      <c r="Q34" s="72">
        <f>G34+I34+K34+M34+O34</f>
        <v>126</v>
      </c>
      <c r="R34" s="73">
        <f>F34+H34+J34+L34+N34+P34</f>
        <v>12092.75</v>
      </c>
      <c r="T34" s="26"/>
      <c r="U34" s="26"/>
      <c r="V34" s="26"/>
      <c r="W34" s="26"/>
      <c r="X34" s="26"/>
    </row>
    <row r="35" spans="1:24" ht="14.25" customHeight="1" x14ac:dyDescent="0.2">
      <c r="A35" s="34" t="s">
        <v>64</v>
      </c>
      <c r="B35" s="35">
        <v>43221</v>
      </c>
      <c r="C35" s="36">
        <v>235000</v>
      </c>
      <c r="D35" s="37">
        <f t="shared" ref="D35:D36" si="8">C35*0.13</f>
        <v>30550</v>
      </c>
      <c r="F35" s="70">
        <f>C35*0.0225</f>
        <v>5287.5</v>
      </c>
      <c r="G35" s="71">
        <v>32</v>
      </c>
      <c r="H35" s="36">
        <f t="shared" ref="H35:H36" si="9">G35*36</f>
        <v>1152</v>
      </c>
      <c r="I35" s="43">
        <v>35</v>
      </c>
      <c r="J35" s="50">
        <f t="shared" ref="J35:J36" si="10">I35*34</f>
        <v>1190</v>
      </c>
      <c r="K35" s="43">
        <f>8*2.5</f>
        <v>20</v>
      </c>
      <c r="L35" s="50">
        <f t="shared" ref="L35:L36" si="11">K35*23</f>
        <v>460</v>
      </c>
      <c r="M35" s="43">
        <v>12</v>
      </c>
      <c r="N35" s="50">
        <f t="shared" ref="N35:N36" si="12">M35*24</f>
        <v>288</v>
      </c>
      <c r="O35" s="26">
        <v>8</v>
      </c>
      <c r="P35" s="26">
        <f t="shared" ref="P35:P36" si="13">O35*28</f>
        <v>224</v>
      </c>
      <c r="Q35" s="72">
        <f t="shared" ref="Q35:Q36" si="14">G35+I35+K35+M35+O35</f>
        <v>107</v>
      </c>
      <c r="R35" s="73">
        <f t="shared" ref="R35:R36" si="15">F35+H35+J35+L35+N35+P35</f>
        <v>8601.5</v>
      </c>
      <c r="T35" s="26"/>
      <c r="U35" s="26"/>
      <c r="V35" s="26"/>
      <c r="W35" s="26"/>
      <c r="X35" s="26"/>
    </row>
    <row r="36" spans="1:24" ht="14.25" customHeight="1" x14ac:dyDescent="0.2">
      <c r="A36" s="34" t="s">
        <v>64</v>
      </c>
      <c r="B36" s="35">
        <v>44307</v>
      </c>
      <c r="C36" s="36">
        <v>250000</v>
      </c>
      <c r="D36" s="37">
        <f t="shared" si="8"/>
        <v>32500</v>
      </c>
      <c r="F36" s="70">
        <f>C36*0.0225</f>
        <v>5625</v>
      </c>
      <c r="G36" s="71">
        <v>45</v>
      </c>
      <c r="H36" s="36">
        <f t="shared" si="9"/>
        <v>1620</v>
      </c>
      <c r="I36" s="43">
        <v>45</v>
      </c>
      <c r="J36" s="50">
        <f t="shared" si="10"/>
        <v>1530</v>
      </c>
      <c r="K36" s="43">
        <v>24</v>
      </c>
      <c r="L36" s="50">
        <f t="shared" si="11"/>
        <v>552</v>
      </c>
      <c r="M36" s="43">
        <v>12</v>
      </c>
      <c r="N36" s="50">
        <f t="shared" si="12"/>
        <v>288</v>
      </c>
      <c r="O36" s="26">
        <v>8</v>
      </c>
      <c r="P36" s="26">
        <f t="shared" si="13"/>
        <v>224</v>
      </c>
      <c r="Q36" s="72">
        <f t="shared" si="14"/>
        <v>134</v>
      </c>
      <c r="R36" s="73">
        <f t="shared" si="15"/>
        <v>9839</v>
      </c>
      <c r="T36" s="26"/>
      <c r="U36" s="26"/>
      <c r="V36" s="26"/>
      <c r="W36" s="26"/>
      <c r="X36" s="26"/>
    </row>
    <row r="37" spans="1:24" ht="14.25" customHeight="1" x14ac:dyDescent="0.2">
      <c r="A37" s="38" t="s">
        <v>53</v>
      </c>
      <c r="C37" s="39">
        <f>SUM(C34:C36)</f>
        <v>841300</v>
      </c>
      <c r="D37" s="40">
        <f>SUM(D34:D36)</f>
        <v>109369</v>
      </c>
      <c r="E37" s="20"/>
      <c r="F37" s="74">
        <f>SUM(F34:F36)</f>
        <v>18929.25</v>
      </c>
      <c r="G37" s="75"/>
      <c r="H37" s="56">
        <f>SUM(H34:H36)</f>
        <v>4860</v>
      </c>
      <c r="I37" s="76"/>
      <c r="J37" s="60">
        <f>SUM(J34:J36)</f>
        <v>3808</v>
      </c>
      <c r="K37" s="76"/>
      <c r="L37" s="60">
        <f>SUM(L34:L36)</f>
        <v>1288</v>
      </c>
      <c r="M37" s="76"/>
      <c r="N37" s="60">
        <f>SUM(N34:N36)</f>
        <v>864</v>
      </c>
      <c r="O37" s="77"/>
      <c r="P37" s="78">
        <f>SUM(P34:P36)</f>
        <v>784</v>
      </c>
      <c r="Q37" s="77"/>
      <c r="R37" s="79">
        <f>SUM(R34:R36)</f>
        <v>30533.25</v>
      </c>
      <c r="T37" s="26"/>
      <c r="U37" s="26"/>
      <c r="V37" s="26"/>
      <c r="W37" s="26"/>
      <c r="X37" s="26"/>
    </row>
    <row r="38" spans="1:24" ht="14.25" customHeight="1" x14ac:dyDescent="0.2">
      <c r="A38" s="34"/>
      <c r="C38" s="39"/>
      <c r="D38" s="40"/>
      <c r="E38" s="20"/>
      <c r="F38" s="41"/>
      <c r="G38" s="42"/>
      <c r="H38" s="41"/>
      <c r="I38" s="43"/>
      <c r="J38" s="44"/>
      <c r="K38" s="43"/>
      <c r="L38" s="44"/>
      <c r="M38" s="43"/>
      <c r="N38" s="44"/>
      <c r="P38" s="20"/>
      <c r="R38" s="44"/>
      <c r="T38" s="80"/>
    </row>
    <row r="39" spans="1:24" ht="14.25" customHeight="1" x14ac:dyDescent="0.2">
      <c r="A39" s="47" t="s">
        <v>65</v>
      </c>
      <c r="C39" s="39"/>
      <c r="D39" s="40"/>
      <c r="E39" s="20"/>
      <c r="F39" s="101" t="s">
        <v>66</v>
      </c>
      <c r="G39" s="102"/>
      <c r="H39" s="102"/>
      <c r="I39" s="102"/>
      <c r="J39" s="103"/>
      <c r="K39" s="43"/>
      <c r="L39" s="44"/>
      <c r="M39" s="43"/>
      <c r="N39" s="44"/>
      <c r="P39" s="20"/>
      <c r="R39" s="44"/>
      <c r="T39" s="80"/>
    </row>
    <row r="40" spans="1:24" ht="22.5" x14ac:dyDescent="0.2">
      <c r="A40" s="34" t="s">
        <v>67</v>
      </c>
      <c r="C40" s="36">
        <v>6500</v>
      </c>
      <c r="D40" s="37">
        <f>C40*0.13</f>
        <v>845</v>
      </c>
      <c r="E40" s="20"/>
      <c r="F40" s="81" t="s">
        <v>68</v>
      </c>
      <c r="G40" s="68" t="s">
        <v>69</v>
      </c>
      <c r="H40" s="68" t="s">
        <v>56</v>
      </c>
      <c r="I40" s="68" t="s">
        <v>70</v>
      </c>
      <c r="J40" s="69" t="s">
        <v>71</v>
      </c>
      <c r="K40" s="43"/>
      <c r="L40" s="44"/>
      <c r="M40" s="43"/>
      <c r="N40" s="44"/>
      <c r="P40" s="20"/>
      <c r="R40" s="44"/>
      <c r="T40" s="80"/>
    </row>
    <row r="41" spans="1:24" ht="14.25" customHeight="1" x14ac:dyDescent="0.2">
      <c r="A41" s="34" t="s">
        <v>72</v>
      </c>
      <c r="C41" s="36">
        <f>50*30*3.8*1.35</f>
        <v>7695.0000000000009</v>
      </c>
      <c r="D41" s="37">
        <f>C41*0.13</f>
        <v>1000.3500000000001</v>
      </c>
      <c r="E41" s="20"/>
      <c r="F41" s="82">
        <f>(C34-250000)*0.2</f>
        <v>21260</v>
      </c>
      <c r="G41" s="83">
        <f>C34*0.1</f>
        <v>35630</v>
      </c>
      <c r="H41" s="83">
        <f>(C34+F41)*0.13</f>
        <v>49082.8</v>
      </c>
      <c r="I41" s="84">
        <f>F41+H41</f>
        <v>70342.8</v>
      </c>
      <c r="J41" s="91">
        <f>I41/C34</f>
        <v>0.19742576480493967</v>
      </c>
      <c r="K41" s="43"/>
      <c r="L41" s="44"/>
      <c r="M41" s="43"/>
      <c r="N41" s="44"/>
      <c r="P41" s="20"/>
      <c r="R41" s="44"/>
      <c r="T41" s="80"/>
    </row>
    <row r="42" spans="1:24" ht="14.25" customHeight="1" x14ac:dyDescent="0.2">
      <c r="A42" s="34" t="s">
        <v>14</v>
      </c>
      <c r="C42" s="36">
        <f>C34*0.0085</f>
        <v>3028.55</v>
      </c>
      <c r="D42" s="37">
        <v>0</v>
      </c>
      <c r="E42" s="20"/>
      <c r="F42" s="27"/>
      <c r="G42" s="27"/>
      <c r="H42" s="27"/>
      <c r="I42" s="27"/>
      <c r="J42" s="27"/>
      <c r="K42" s="43"/>
      <c r="L42" s="44"/>
      <c r="M42" s="43"/>
      <c r="N42" s="44"/>
      <c r="P42" s="20"/>
      <c r="R42" s="44"/>
      <c r="T42" s="80"/>
    </row>
    <row r="43" spans="1:24" ht="14.25" customHeight="1" x14ac:dyDescent="0.2">
      <c r="A43" s="34" t="s">
        <v>73</v>
      </c>
      <c r="C43" s="36">
        <v>4500</v>
      </c>
      <c r="D43" s="37">
        <f>C43*0.13</f>
        <v>585</v>
      </c>
      <c r="E43" s="20"/>
      <c r="F43" s="114" t="s">
        <v>74</v>
      </c>
      <c r="G43" s="115"/>
      <c r="H43" s="115"/>
      <c r="I43" s="115"/>
      <c r="J43" s="116"/>
      <c r="K43" s="43"/>
      <c r="L43" s="44"/>
      <c r="M43" s="43"/>
      <c r="N43" s="44"/>
      <c r="P43" s="20"/>
      <c r="R43" s="44"/>
      <c r="T43" s="80"/>
    </row>
    <row r="44" spans="1:24" ht="14.25" customHeight="1" x14ac:dyDescent="0.2">
      <c r="A44" s="34" t="s">
        <v>75</v>
      </c>
      <c r="C44" s="36">
        <v>3000</v>
      </c>
      <c r="D44" s="37">
        <f>C44*0.13</f>
        <v>390</v>
      </c>
      <c r="E44" s="20"/>
      <c r="F44" s="117" t="s">
        <v>76</v>
      </c>
      <c r="G44" s="118"/>
      <c r="H44" s="118"/>
      <c r="I44" s="48">
        <f>F41</f>
        <v>21260</v>
      </c>
      <c r="J44" s="49"/>
      <c r="K44" s="43"/>
      <c r="L44" s="44"/>
      <c r="M44" s="43"/>
      <c r="N44" s="44"/>
      <c r="P44" s="20"/>
      <c r="R44" s="44"/>
      <c r="T44" s="80"/>
    </row>
    <row r="45" spans="1:24" ht="14.25" customHeight="1" x14ac:dyDescent="0.2">
      <c r="A45" s="34" t="s">
        <v>77</v>
      </c>
      <c r="C45" s="36">
        <v>2000</v>
      </c>
      <c r="D45" s="37">
        <f>C45*0.13</f>
        <v>260</v>
      </c>
      <c r="E45" s="20"/>
      <c r="F45" s="112" t="s">
        <v>78</v>
      </c>
      <c r="G45" s="113"/>
      <c r="H45" s="113"/>
      <c r="I45" s="48">
        <f>H41-D34</f>
        <v>2763.8000000000029</v>
      </c>
      <c r="J45" s="49"/>
      <c r="K45" s="43"/>
      <c r="L45" s="44"/>
      <c r="M45" s="43"/>
      <c r="N45" s="44"/>
      <c r="P45" s="20"/>
      <c r="R45" s="44"/>
      <c r="T45" s="80"/>
    </row>
    <row r="46" spans="1:24" ht="14.25" customHeight="1" x14ac:dyDescent="0.2">
      <c r="A46" s="34" t="s">
        <v>79</v>
      </c>
      <c r="C46" s="36">
        <v>1500</v>
      </c>
      <c r="D46" s="37">
        <f>C46*0.13</f>
        <v>195</v>
      </c>
      <c r="E46" s="20"/>
      <c r="F46" s="112" t="s">
        <v>80</v>
      </c>
      <c r="G46" s="113"/>
      <c r="H46" s="113"/>
      <c r="I46" s="50">
        <f>-D34</f>
        <v>-46319</v>
      </c>
      <c r="J46" s="51"/>
      <c r="K46" s="43"/>
      <c r="L46" s="44"/>
      <c r="M46" s="43"/>
      <c r="N46" s="44"/>
      <c r="P46" s="20"/>
      <c r="R46" s="44"/>
      <c r="T46" s="80"/>
    </row>
    <row r="47" spans="1:24" ht="14.25" customHeight="1" x14ac:dyDescent="0.2">
      <c r="A47" s="34" t="s">
        <v>81</v>
      </c>
      <c r="C47" s="39">
        <f>SUM(C40:C46)</f>
        <v>28223.55</v>
      </c>
      <c r="D47" s="40">
        <f>SUM(D40:D46)</f>
        <v>3275.3500000000004</v>
      </c>
      <c r="E47" s="20"/>
      <c r="F47" s="110" t="s">
        <v>82</v>
      </c>
      <c r="G47" s="111"/>
      <c r="H47" s="111"/>
      <c r="I47" s="44">
        <f>SUM(I44:I46)</f>
        <v>-22295.199999999997</v>
      </c>
      <c r="J47" s="51"/>
      <c r="K47" s="43"/>
      <c r="L47" s="44"/>
      <c r="M47" s="43"/>
      <c r="N47" s="44"/>
      <c r="P47" s="20"/>
      <c r="R47" s="44"/>
      <c r="T47" s="80"/>
    </row>
    <row r="48" spans="1:24" ht="14.25" customHeight="1" x14ac:dyDescent="0.2">
      <c r="A48" s="34" t="s">
        <v>83</v>
      </c>
      <c r="C48" s="36">
        <v>12</v>
      </c>
      <c r="D48" s="37">
        <v>12</v>
      </c>
      <c r="E48" s="20"/>
      <c r="F48" s="52" t="s">
        <v>84</v>
      </c>
      <c r="G48" s="53"/>
      <c r="H48" s="53"/>
      <c r="I48" s="50">
        <f>-SUM(D35:D36)</f>
        <v>-63050</v>
      </c>
      <c r="J48" s="51"/>
      <c r="K48" s="43"/>
      <c r="L48" s="44"/>
      <c r="M48" s="43"/>
      <c r="N48" s="44"/>
      <c r="P48" s="20"/>
      <c r="R48" s="44"/>
      <c r="T48" s="80"/>
    </row>
    <row r="49" spans="1:24" ht="14.25" customHeight="1" x14ac:dyDescent="0.2">
      <c r="A49" s="34" t="s">
        <v>85</v>
      </c>
      <c r="C49" s="39">
        <f>C47*C48</f>
        <v>338682.6</v>
      </c>
      <c r="D49" s="40">
        <f>D47*D48</f>
        <v>39304.200000000004</v>
      </c>
      <c r="E49" s="20"/>
      <c r="F49" s="52" t="s">
        <v>86</v>
      </c>
      <c r="G49" s="53"/>
      <c r="H49" s="53"/>
      <c r="I49" s="50">
        <f>-D49</f>
        <v>-39304.200000000004</v>
      </c>
      <c r="J49" s="51"/>
      <c r="K49" s="43"/>
      <c r="L49" s="44"/>
      <c r="M49" s="43"/>
      <c r="N49" s="44"/>
      <c r="P49" s="20"/>
      <c r="R49" s="44"/>
      <c r="T49" s="80"/>
    </row>
    <row r="50" spans="1:24" ht="14.25" customHeight="1" x14ac:dyDescent="0.2">
      <c r="A50" s="54"/>
      <c r="B50" s="55"/>
      <c r="C50" s="56"/>
      <c r="D50" s="57"/>
      <c r="E50" s="20"/>
      <c r="F50" s="58" t="s">
        <v>87</v>
      </c>
      <c r="G50" s="59"/>
      <c r="H50" s="59"/>
      <c r="I50" s="60">
        <f>SUM(I47:I49)</f>
        <v>-124649.4</v>
      </c>
      <c r="J50" s="61"/>
      <c r="K50" s="43"/>
      <c r="L50" s="44"/>
      <c r="M50" s="43"/>
      <c r="N50" s="44"/>
      <c r="P50" s="20"/>
      <c r="R50" s="44"/>
      <c r="T50" s="80"/>
    </row>
    <row r="51" spans="1:24" ht="14.25" customHeight="1" thickBot="1" x14ac:dyDescent="0.25">
      <c r="A51" s="62"/>
      <c r="B51" s="63"/>
      <c r="C51" s="64"/>
      <c r="D51" s="64"/>
      <c r="E51" s="65"/>
      <c r="F51" s="64"/>
      <c r="G51" s="85"/>
      <c r="H51" s="64"/>
      <c r="I51" s="86"/>
      <c r="J51" s="87"/>
      <c r="K51" s="86"/>
      <c r="L51" s="87"/>
      <c r="M51" s="86"/>
      <c r="N51" s="87"/>
      <c r="O51" s="62"/>
      <c r="P51" s="65"/>
      <c r="Q51" s="62"/>
      <c r="R51" s="87"/>
      <c r="T51" s="80"/>
    </row>
    <row r="52" spans="1:24" ht="14.25" customHeight="1" thickTop="1" x14ac:dyDescent="0.2">
      <c r="A52" s="20" t="s">
        <v>91</v>
      </c>
    </row>
    <row r="53" spans="1:24" ht="14.25" customHeight="1" x14ac:dyDescent="0.2">
      <c r="A53" s="20" t="s">
        <v>92</v>
      </c>
      <c r="D53" s="25" t="s">
        <v>103</v>
      </c>
    </row>
    <row r="54" spans="1:24" ht="14.25" customHeight="1" x14ac:dyDescent="0.2">
      <c r="A54" s="26" t="s">
        <v>93</v>
      </c>
    </row>
    <row r="55" spans="1:24" s="23" customFormat="1" ht="6" customHeight="1" x14ac:dyDescent="0.2">
      <c r="A55" s="28"/>
      <c r="B55" s="28"/>
      <c r="C55" s="28"/>
      <c r="D55" s="22"/>
    </row>
    <row r="56" spans="1:24" s="23" customFormat="1" ht="14.25" customHeight="1" x14ac:dyDescent="0.2">
      <c r="A56" s="106" t="s">
        <v>44</v>
      </c>
      <c r="B56" s="107"/>
      <c r="C56" s="107"/>
      <c r="D56" s="108"/>
      <c r="F56" s="101" t="s">
        <v>45</v>
      </c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3"/>
    </row>
    <row r="57" spans="1:24" s="23" customFormat="1" ht="14.25" customHeight="1" x14ac:dyDescent="0.2">
      <c r="A57" s="99" t="s">
        <v>46</v>
      </c>
      <c r="B57" s="100"/>
      <c r="D57" s="29"/>
      <c r="F57" s="66" t="s">
        <v>47</v>
      </c>
      <c r="G57" s="97" t="s">
        <v>48</v>
      </c>
      <c r="H57" s="97"/>
      <c r="I57" s="97" t="s">
        <v>49</v>
      </c>
      <c r="J57" s="97"/>
      <c r="K57" s="97" t="s">
        <v>50</v>
      </c>
      <c r="L57" s="97"/>
      <c r="M57" s="97" t="s">
        <v>51</v>
      </c>
      <c r="N57" s="97"/>
      <c r="O57" s="97" t="s">
        <v>52</v>
      </c>
      <c r="P57" s="97"/>
      <c r="Q57" s="97" t="s">
        <v>53</v>
      </c>
      <c r="R57" s="98"/>
    </row>
    <row r="58" spans="1:24" s="24" customFormat="1" ht="33.75" customHeight="1" x14ac:dyDescent="0.2">
      <c r="A58" s="30"/>
      <c r="B58" s="31" t="s">
        <v>54</v>
      </c>
      <c r="C58" s="32" t="s">
        <v>55</v>
      </c>
      <c r="D58" s="33" t="s">
        <v>56</v>
      </c>
      <c r="F58" s="67" t="s">
        <v>57</v>
      </c>
      <c r="G58" s="68" t="s">
        <v>58</v>
      </c>
      <c r="H58" s="68" t="s">
        <v>59</v>
      </c>
      <c r="I58" s="68" t="s">
        <v>58</v>
      </c>
      <c r="J58" s="68" t="s">
        <v>59</v>
      </c>
      <c r="K58" s="68" t="s">
        <v>58</v>
      </c>
      <c r="L58" s="68" t="s">
        <v>59</v>
      </c>
      <c r="M58" s="68" t="s">
        <v>58</v>
      </c>
      <c r="N58" s="68" t="s">
        <v>59</v>
      </c>
      <c r="O58" s="68" t="s">
        <v>60</v>
      </c>
      <c r="P58" s="68" t="s">
        <v>59</v>
      </c>
      <c r="Q58" s="68" t="s">
        <v>61</v>
      </c>
      <c r="R58" s="69" t="s">
        <v>62</v>
      </c>
    </row>
    <row r="59" spans="1:24" ht="14.25" customHeight="1" x14ac:dyDescent="0.2">
      <c r="A59" s="34" t="s">
        <v>63</v>
      </c>
      <c r="B59" s="35">
        <v>41395</v>
      </c>
      <c r="C59" s="36">
        <v>319900</v>
      </c>
      <c r="D59" s="37">
        <f>C59*0.13</f>
        <v>41587</v>
      </c>
      <c r="F59" s="70">
        <f>C59*0.0225</f>
        <v>7197.75</v>
      </c>
      <c r="G59" s="71">
        <v>42.5</v>
      </c>
      <c r="H59" s="36">
        <f>G59*36</f>
        <v>1530</v>
      </c>
      <c r="I59" s="43">
        <f>8*3.5</f>
        <v>28</v>
      </c>
      <c r="J59" s="50">
        <f>I59*34</f>
        <v>952</v>
      </c>
      <c r="K59" s="43">
        <v>12</v>
      </c>
      <c r="L59" s="50">
        <f>K59*23</f>
        <v>276</v>
      </c>
      <c r="M59" s="43">
        <f>8*1.5</f>
        <v>12</v>
      </c>
      <c r="N59" s="50">
        <f>M59*24</f>
        <v>288</v>
      </c>
      <c r="O59" s="26">
        <v>12</v>
      </c>
      <c r="P59" s="26">
        <f>O59*28</f>
        <v>336</v>
      </c>
      <c r="Q59" s="72">
        <f>G59+I59+K59+M59+O59</f>
        <v>106.5</v>
      </c>
      <c r="R59" s="73">
        <f>F59+H59+J59+L59+N59+P59</f>
        <v>10579.75</v>
      </c>
      <c r="T59" s="26"/>
      <c r="U59" s="26"/>
      <c r="V59" s="26"/>
      <c r="W59" s="26"/>
      <c r="X59" s="26"/>
    </row>
    <row r="60" spans="1:24" ht="14.25" customHeight="1" x14ac:dyDescent="0.2">
      <c r="A60" s="34" t="s">
        <v>64</v>
      </c>
      <c r="B60" s="35">
        <v>41913</v>
      </c>
      <c r="C60" s="36">
        <v>280000</v>
      </c>
      <c r="D60" s="37">
        <f t="shared" ref="D60:D61" si="16">C60*0.13</f>
        <v>36400</v>
      </c>
      <c r="F60" s="70">
        <f>C60*0.0225</f>
        <v>6300</v>
      </c>
      <c r="G60" s="71">
        <v>24</v>
      </c>
      <c r="H60" s="36">
        <f t="shared" ref="H60:H61" si="17">G60*36</f>
        <v>864</v>
      </c>
      <c r="I60" s="43">
        <v>32</v>
      </c>
      <c r="J60" s="50">
        <f t="shared" ref="J60:J61" si="18">I60*34</f>
        <v>1088</v>
      </c>
      <c r="K60" s="43">
        <f>8*2.5</f>
        <v>20</v>
      </c>
      <c r="L60" s="50">
        <f t="shared" ref="L60:L61" si="19">K60*23</f>
        <v>460</v>
      </c>
      <c r="M60" s="43">
        <v>12</v>
      </c>
      <c r="N60" s="50">
        <f t="shared" ref="N60:N61" si="20">M60*24</f>
        <v>288</v>
      </c>
      <c r="O60" s="26">
        <v>8</v>
      </c>
      <c r="P60" s="26">
        <f t="shared" ref="P60:P61" si="21">O60*28</f>
        <v>224</v>
      </c>
      <c r="Q60" s="72">
        <f t="shared" ref="Q60:Q61" si="22">G60+I60+K60+M60+O60</f>
        <v>96</v>
      </c>
      <c r="R60" s="73">
        <f t="shared" ref="R60:R61" si="23">F60+H60+J60+L60+N60+P60</f>
        <v>9224</v>
      </c>
      <c r="T60" s="26"/>
      <c r="U60" s="26"/>
      <c r="V60" s="26"/>
      <c r="W60" s="26"/>
      <c r="X60" s="26"/>
    </row>
    <row r="61" spans="1:24" ht="14.25" customHeight="1" x14ac:dyDescent="0.2">
      <c r="A61" s="34" t="s">
        <v>64</v>
      </c>
      <c r="B61" s="35">
        <v>44013</v>
      </c>
      <c r="C61" s="36">
        <v>250000</v>
      </c>
      <c r="D61" s="37">
        <f t="shared" si="16"/>
        <v>32500</v>
      </c>
      <c r="F61" s="70">
        <f>C61*0.0225</f>
        <v>5625</v>
      </c>
      <c r="G61" s="71">
        <v>32</v>
      </c>
      <c r="H61" s="36">
        <f t="shared" si="17"/>
        <v>1152</v>
      </c>
      <c r="I61" s="43">
        <v>40</v>
      </c>
      <c r="J61" s="50">
        <f t="shared" si="18"/>
        <v>1360</v>
      </c>
      <c r="K61" s="43">
        <v>24</v>
      </c>
      <c r="L61" s="50">
        <f t="shared" si="19"/>
        <v>552</v>
      </c>
      <c r="M61" s="43">
        <v>12</v>
      </c>
      <c r="N61" s="50">
        <f t="shared" si="20"/>
        <v>288</v>
      </c>
      <c r="O61" s="26">
        <v>8</v>
      </c>
      <c r="P61" s="26">
        <f t="shared" si="21"/>
        <v>224</v>
      </c>
      <c r="Q61" s="72">
        <f t="shared" si="22"/>
        <v>116</v>
      </c>
      <c r="R61" s="73">
        <f t="shared" si="23"/>
        <v>9201</v>
      </c>
      <c r="T61" s="26"/>
      <c r="U61" s="26"/>
      <c r="V61" s="26"/>
      <c r="W61" s="26"/>
      <c r="X61" s="26"/>
    </row>
    <row r="62" spans="1:24" ht="14.25" customHeight="1" x14ac:dyDescent="0.2">
      <c r="A62" s="38" t="s">
        <v>53</v>
      </c>
      <c r="C62" s="39">
        <f>SUM(C59:C61)</f>
        <v>849900</v>
      </c>
      <c r="D62" s="40">
        <f>SUM(D59:D61)</f>
        <v>110487</v>
      </c>
      <c r="E62" s="20"/>
      <c r="F62" s="74">
        <f>SUM(F59:F61)</f>
        <v>19122.75</v>
      </c>
      <c r="G62" s="75"/>
      <c r="H62" s="56">
        <f>SUM(H59:H61)</f>
        <v>3546</v>
      </c>
      <c r="I62" s="76"/>
      <c r="J62" s="60">
        <f>SUM(J59:J61)</f>
        <v>3400</v>
      </c>
      <c r="K62" s="76"/>
      <c r="L62" s="60">
        <f>SUM(L59:L61)</f>
        <v>1288</v>
      </c>
      <c r="M62" s="76"/>
      <c r="N62" s="60">
        <f>SUM(N59:N61)</f>
        <v>864</v>
      </c>
      <c r="O62" s="77"/>
      <c r="P62" s="78">
        <f>SUM(P59:P61)</f>
        <v>784</v>
      </c>
      <c r="Q62" s="77"/>
      <c r="R62" s="79">
        <f>SUM(R59:R61)</f>
        <v>29004.75</v>
      </c>
      <c r="T62" s="26"/>
      <c r="U62" s="26"/>
      <c r="V62" s="26"/>
      <c r="W62" s="26"/>
      <c r="X62" s="26"/>
    </row>
    <row r="63" spans="1:24" ht="14.25" customHeight="1" x14ac:dyDescent="0.2">
      <c r="A63" s="34"/>
      <c r="C63" s="39"/>
      <c r="D63" s="40"/>
      <c r="E63" s="20"/>
      <c r="T63" s="88"/>
    </row>
    <row r="64" spans="1:24" ht="14.25" customHeight="1" x14ac:dyDescent="0.2">
      <c r="A64" s="47" t="s">
        <v>65</v>
      </c>
      <c r="C64" s="39"/>
      <c r="D64" s="40"/>
      <c r="E64" s="20"/>
      <c r="F64" s="101" t="s">
        <v>66</v>
      </c>
      <c r="G64" s="102"/>
      <c r="H64" s="102"/>
      <c r="I64" s="102"/>
      <c r="J64" s="103"/>
      <c r="T64" s="88"/>
    </row>
    <row r="65" spans="1:20" ht="22.5" x14ac:dyDescent="0.2">
      <c r="A65" s="34" t="s">
        <v>67</v>
      </c>
      <c r="C65" s="36">
        <v>6000</v>
      </c>
      <c r="D65" s="37">
        <f>C65*0.13</f>
        <v>780</v>
      </c>
      <c r="E65" s="20"/>
      <c r="F65" s="81" t="s">
        <v>68</v>
      </c>
      <c r="G65" s="68" t="s">
        <v>69</v>
      </c>
      <c r="H65" s="68" t="s">
        <v>56</v>
      </c>
      <c r="I65" s="68" t="s">
        <v>70</v>
      </c>
      <c r="J65" s="69" t="s">
        <v>71</v>
      </c>
      <c r="T65" s="88"/>
    </row>
    <row r="66" spans="1:20" ht="14.25" customHeight="1" x14ac:dyDescent="0.2">
      <c r="A66" s="34" t="s">
        <v>72</v>
      </c>
      <c r="C66" s="36">
        <f>50*28*3.8*1.35</f>
        <v>7182.0000000000009</v>
      </c>
      <c r="D66" s="37">
        <f>C66*0.13</f>
        <v>933.6600000000002</v>
      </c>
      <c r="E66" s="20"/>
      <c r="F66" s="82">
        <f>(C59-250000)*0.2</f>
        <v>13980</v>
      </c>
      <c r="G66" s="83">
        <f>C59*0.1</f>
        <v>31990</v>
      </c>
      <c r="H66" s="83">
        <f>(C59+F66)*0.13</f>
        <v>43404.4</v>
      </c>
      <c r="I66" s="84">
        <f>F66+H66</f>
        <v>57384.4</v>
      </c>
      <c r="J66" s="91">
        <f>I66/C59</f>
        <v>0.17938230697092841</v>
      </c>
      <c r="T66" s="88"/>
    </row>
    <row r="67" spans="1:20" ht="14.25" customHeight="1" x14ac:dyDescent="0.2">
      <c r="A67" s="34" t="s">
        <v>14</v>
      </c>
      <c r="C67" s="36">
        <f>C59*0.0085</f>
        <v>2719.15</v>
      </c>
      <c r="D67" s="37">
        <v>0</v>
      </c>
      <c r="E67" s="20"/>
      <c r="F67" s="27"/>
      <c r="G67" s="27"/>
      <c r="H67" s="27"/>
      <c r="I67" s="27"/>
      <c r="J67" s="27"/>
      <c r="T67" s="88"/>
    </row>
    <row r="68" spans="1:20" ht="14.25" customHeight="1" x14ac:dyDescent="0.2">
      <c r="A68" s="34" t="s">
        <v>73</v>
      </c>
      <c r="C68" s="36">
        <v>3500</v>
      </c>
      <c r="D68" s="37">
        <f>C68*0.13</f>
        <v>455</v>
      </c>
      <c r="E68" s="20"/>
      <c r="F68" s="114" t="s">
        <v>74</v>
      </c>
      <c r="G68" s="115"/>
      <c r="H68" s="115"/>
      <c r="I68" s="115"/>
      <c r="J68" s="116"/>
      <c r="T68" s="88"/>
    </row>
    <row r="69" spans="1:20" ht="14.25" customHeight="1" x14ac:dyDescent="0.2">
      <c r="A69" s="34" t="s">
        <v>75</v>
      </c>
      <c r="C69" s="36">
        <v>2000</v>
      </c>
      <c r="D69" s="37">
        <f>C69*0.13</f>
        <v>260</v>
      </c>
      <c r="E69" s="20"/>
      <c r="F69" s="117" t="s">
        <v>76</v>
      </c>
      <c r="G69" s="118"/>
      <c r="H69" s="118"/>
      <c r="I69" s="48">
        <f>F66</f>
        <v>13980</v>
      </c>
      <c r="J69" s="49"/>
      <c r="T69" s="88"/>
    </row>
    <row r="70" spans="1:20" ht="14.25" customHeight="1" x14ac:dyDescent="0.2">
      <c r="A70" s="34" t="s">
        <v>77</v>
      </c>
      <c r="C70" s="36">
        <v>1500</v>
      </c>
      <c r="D70" s="37">
        <f>C70*0.13</f>
        <v>195</v>
      </c>
      <c r="E70" s="20"/>
      <c r="F70" s="112" t="s">
        <v>78</v>
      </c>
      <c r="G70" s="113"/>
      <c r="H70" s="113"/>
      <c r="I70" s="48">
        <f>H66-D59</f>
        <v>1817.4000000000015</v>
      </c>
      <c r="J70" s="49"/>
      <c r="T70" s="88"/>
    </row>
    <row r="71" spans="1:20" ht="14.25" customHeight="1" x14ac:dyDescent="0.2">
      <c r="A71" s="34" t="s">
        <v>79</v>
      </c>
      <c r="C71" s="36">
        <v>1500</v>
      </c>
      <c r="D71" s="37">
        <f>C71*0.13</f>
        <v>195</v>
      </c>
      <c r="E71" s="20"/>
      <c r="F71" s="112" t="s">
        <v>80</v>
      </c>
      <c r="G71" s="113"/>
      <c r="H71" s="113"/>
      <c r="I71" s="50">
        <f>-D59</f>
        <v>-41587</v>
      </c>
      <c r="J71" s="51"/>
      <c r="T71" s="88"/>
    </row>
    <row r="72" spans="1:20" ht="14.25" customHeight="1" x14ac:dyDescent="0.2">
      <c r="A72" s="34" t="s">
        <v>81</v>
      </c>
      <c r="C72" s="39">
        <f>SUM(C65:C71)</f>
        <v>24401.15</v>
      </c>
      <c r="D72" s="40">
        <f>SUM(D65:D71)</f>
        <v>2818.6600000000003</v>
      </c>
      <c r="E72" s="20"/>
      <c r="F72" s="110" t="s">
        <v>82</v>
      </c>
      <c r="G72" s="111"/>
      <c r="H72" s="111"/>
      <c r="I72" s="44">
        <f>SUM(I69:I71)</f>
        <v>-25789.599999999999</v>
      </c>
      <c r="J72" s="51"/>
      <c r="T72" s="88"/>
    </row>
    <row r="73" spans="1:20" ht="14.25" customHeight="1" x14ac:dyDescent="0.2">
      <c r="A73" s="34" t="s">
        <v>83</v>
      </c>
      <c r="C73" s="36">
        <v>9</v>
      </c>
      <c r="D73" s="37">
        <v>9</v>
      </c>
      <c r="E73" s="20"/>
      <c r="F73" s="52" t="s">
        <v>84</v>
      </c>
      <c r="G73" s="53"/>
      <c r="H73" s="53"/>
      <c r="I73" s="50">
        <f>-SUM(D60:D61)</f>
        <v>-68900</v>
      </c>
      <c r="J73" s="51"/>
      <c r="T73" s="88"/>
    </row>
    <row r="74" spans="1:20" ht="14.25" customHeight="1" x14ac:dyDescent="0.2">
      <c r="A74" s="34" t="s">
        <v>85</v>
      </c>
      <c r="C74" s="39">
        <f>C72*C73</f>
        <v>219610.35</v>
      </c>
      <c r="D74" s="40">
        <f>D72*D73</f>
        <v>25367.940000000002</v>
      </c>
      <c r="E74" s="20"/>
      <c r="F74" s="52" t="s">
        <v>86</v>
      </c>
      <c r="G74" s="53"/>
      <c r="H74" s="53"/>
      <c r="I74" s="50">
        <f>-D74</f>
        <v>-25367.940000000002</v>
      </c>
      <c r="J74" s="51"/>
      <c r="T74" s="88"/>
    </row>
    <row r="75" spans="1:20" ht="14.25" customHeight="1" x14ac:dyDescent="0.2">
      <c r="A75" s="54"/>
      <c r="B75" s="55"/>
      <c r="C75" s="56"/>
      <c r="D75" s="57"/>
      <c r="E75" s="20"/>
      <c r="F75" s="58" t="s">
        <v>87</v>
      </c>
      <c r="G75" s="59"/>
      <c r="H75" s="59"/>
      <c r="I75" s="60">
        <f>SUM(I72:I74)</f>
        <v>-120057.54000000001</v>
      </c>
      <c r="J75" s="61"/>
      <c r="T75" s="88"/>
    </row>
    <row r="76" spans="1:20" ht="14.25" customHeight="1" thickBot="1" x14ac:dyDescent="0.25">
      <c r="A76" s="62"/>
      <c r="B76" s="63"/>
      <c r="C76" s="64"/>
      <c r="D76" s="64"/>
      <c r="E76" s="65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T76" s="88"/>
    </row>
    <row r="77" spans="1:20" ht="14.25" customHeight="1" thickTop="1" x14ac:dyDescent="0.2">
      <c r="C77" s="41"/>
      <c r="D77" s="41"/>
      <c r="E77" s="20"/>
      <c r="T77" s="88"/>
    </row>
    <row r="78" spans="1:20" ht="14.25" customHeight="1" x14ac:dyDescent="0.2">
      <c r="A78" s="20" t="s">
        <v>94</v>
      </c>
    </row>
    <row r="79" spans="1:20" ht="14.25" customHeight="1" x14ac:dyDescent="0.2">
      <c r="A79" s="20" t="s">
        <v>95</v>
      </c>
      <c r="D79" s="25" t="s">
        <v>103</v>
      </c>
    </row>
    <row r="80" spans="1:20" ht="14.25" customHeight="1" x14ac:dyDescent="0.2">
      <c r="A80" s="26" t="s">
        <v>96</v>
      </c>
    </row>
    <row r="81" spans="1:24" s="23" customFormat="1" ht="6" customHeight="1" x14ac:dyDescent="0.2">
      <c r="A81" s="28"/>
      <c r="B81" s="28"/>
      <c r="C81" s="28"/>
      <c r="D81" s="22"/>
    </row>
    <row r="82" spans="1:24" s="23" customFormat="1" ht="14.25" customHeight="1" x14ac:dyDescent="0.2">
      <c r="A82" s="106" t="s">
        <v>44</v>
      </c>
      <c r="B82" s="107"/>
      <c r="C82" s="107"/>
      <c r="D82" s="108"/>
      <c r="F82" s="101" t="s">
        <v>45</v>
      </c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3"/>
    </row>
    <row r="83" spans="1:24" s="23" customFormat="1" ht="14.25" customHeight="1" x14ac:dyDescent="0.2">
      <c r="A83" s="99" t="s">
        <v>46</v>
      </c>
      <c r="B83" s="100"/>
      <c r="D83" s="29"/>
      <c r="F83" s="66" t="s">
        <v>47</v>
      </c>
      <c r="G83" s="97" t="s">
        <v>48</v>
      </c>
      <c r="H83" s="97"/>
      <c r="I83" s="97" t="s">
        <v>49</v>
      </c>
      <c r="J83" s="97"/>
      <c r="K83" s="97" t="s">
        <v>50</v>
      </c>
      <c r="L83" s="97"/>
      <c r="M83" s="97" t="s">
        <v>51</v>
      </c>
      <c r="N83" s="97"/>
      <c r="O83" s="97" t="s">
        <v>52</v>
      </c>
      <c r="P83" s="97"/>
      <c r="Q83" s="97" t="s">
        <v>53</v>
      </c>
      <c r="R83" s="98"/>
    </row>
    <row r="84" spans="1:24" s="24" customFormat="1" ht="33.75" customHeight="1" x14ac:dyDescent="0.2">
      <c r="A84" s="30"/>
      <c r="B84" s="31" t="s">
        <v>54</v>
      </c>
      <c r="C84" s="32" t="s">
        <v>55</v>
      </c>
      <c r="D84" s="33" t="s">
        <v>56</v>
      </c>
      <c r="F84" s="67" t="s">
        <v>57</v>
      </c>
      <c r="G84" s="68" t="s">
        <v>58</v>
      </c>
      <c r="H84" s="68" t="s">
        <v>59</v>
      </c>
      <c r="I84" s="68" t="s">
        <v>58</v>
      </c>
      <c r="J84" s="68" t="s">
        <v>59</v>
      </c>
      <c r="K84" s="68" t="s">
        <v>58</v>
      </c>
      <c r="L84" s="68" t="s">
        <v>59</v>
      </c>
      <c r="M84" s="68" t="s">
        <v>58</v>
      </c>
      <c r="N84" s="68" t="s">
        <v>59</v>
      </c>
      <c r="O84" s="68" t="s">
        <v>60</v>
      </c>
      <c r="P84" s="68" t="s">
        <v>59</v>
      </c>
      <c r="Q84" s="68" t="s">
        <v>61</v>
      </c>
      <c r="R84" s="69" t="s">
        <v>62</v>
      </c>
    </row>
    <row r="85" spans="1:24" ht="14.25" customHeight="1" x14ac:dyDescent="0.2">
      <c r="A85" s="34" t="s">
        <v>63</v>
      </c>
      <c r="B85" s="35">
        <v>41091</v>
      </c>
      <c r="C85" s="36">
        <v>269620</v>
      </c>
      <c r="D85" s="37">
        <f>C85*0.13</f>
        <v>35050.6</v>
      </c>
      <c r="F85" s="70">
        <f>C85*0.0225</f>
        <v>6066.45</v>
      </c>
      <c r="G85" s="71">
        <v>36.5</v>
      </c>
      <c r="H85" s="36">
        <f>G85*36</f>
        <v>1314</v>
      </c>
      <c r="I85" s="43">
        <v>22</v>
      </c>
      <c r="J85" s="50">
        <f>I85*34</f>
        <v>748</v>
      </c>
      <c r="K85" s="43">
        <v>12</v>
      </c>
      <c r="L85" s="50">
        <f>K85*23</f>
        <v>276</v>
      </c>
      <c r="M85" s="43">
        <f>8*1.5</f>
        <v>12</v>
      </c>
      <c r="N85" s="50">
        <f>M85*24</f>
        <v>288</v>
      </c>
      <c r="O85" s="26">
        <v>12</v>
      </c>
      <c r="P85" s="26">
        <f>O85*28</f>
        <v>336</v>
      </c>
      <c r="Q85" s="72">
        <f>G85+I85+K85+M85+O85</f>
        <v>94.5</v>
      </c>
      <c r="R85" s="73">
        <f>F85+H85+J85+L85+N85+P85</f>
        <v>9028.4500000000007</v>
      </c>
      <c r="T85" s="26"/>
      <c r="U85" s="26"/>
      <c r="V85" s="26"/>
      <c r="W85" s="26"/>
      <c r="X85" s="26"/>
    </row>
    <row r="86" spans="1:24" ht="14.25" customHeight="1" x14ac:dyDescent="0.2">
      <c r="A86" s="34" t="s">
        <v>64</v>
      </c>
      <c r="B86" s="35">
        <v>42552</v>
      </c>
      <c r="C86" s="36">
        <v>227000</v>
      </c>
      <c r="D86" s="37">
        <f t="shared" ref="D86:D87" si="24">C86*0.13</f>
        <v>29510</v>
      </c>
      <c r="F86" s="70">
        <f>C86*0.0225</f>
        <v>5107.5</v>
      </c>
      <c r="G86" s="71">
        <v>24</v>
      </c>
      <c r="H86" s="36">
        <f t="shared" ref="H86:H87" si="25">G86*36</f>
        <v>864</v>
      </c>
      <c r="I86" s="43">
        <v>28</v>
      </c>
      <c r="J86" s="50">
        <f t="shared" ref="J86:J87" si="26">I86*34</f>
        <v>952</v>
      </c>
      <c r="K86" s="43">
        <f>8*2.5</f>
        <v>20</v>
      </c>
      <c r="L86" s="50">
        <f t="shared" ref="L86:L87" si="27">K86*23</f>
        <v>460</v>
      </c>
      <c r="M86" s="43">
        <v>12</v>
      </c>
      <c r="N86" s="50">
        <f t="shared" ref="N86:N87" si="28">M86*24</f>
        <v>288</v>
      </c>
      <c r="O86" s="26">
        <v>8</v>
      </c>
      <c r="P86" s="26">
        <f t="shared" ref="P86:P87" si="29">O86*28</f>
        <v>224</v>
      </c>
      <c r="Q86" s="72">
        <f t="shared" ref="Q86:Q87" si="30">G86+I86+K86+M86+O86</f>
        <v>92</v>
      </c>
      <c r="R86" s="73">
        <f t="shared" ref="R86:R87" si="31">F86+H86+J86+L86+N86+P86</f>
        <v>7895.5</v>
      </c>
      <c r="T86" s="26"/>
      <c r="U86" s="26"/>
      <c r="V86" s="26"/>
      <c r="W86" s="26"/>
      <c r="X86" s="26"/>
    </row>
    <row r="87" spans="1:24" ht="14.25" customHeight="1" x14ac:dyDescent="0.2">
      <c r="A87" s="34" t="s">
        <v>64</v>
      </c>
      <c r="B87" s="35">
        <v>43009</v>
      </c>
      <c r="C87" s="36">
        <v>225000</v>
      </c>
      <c r="D87" s="37">
        <f t="shared" si="24"/>
        <v>29250</v>
      </c>
      <c r="F87" s="70">
        <f>C87*0.0225</f>
        <v>5062.5</v>
      </c>
      <c r="G87" s="71">
        <v>32</v>
      </c>
      <c r="H87" s="36">
        <f t="shared" si="25"/>
        <v>1152</v>
      </c>
      <c r="I87" s="43">
        <v>32</v>
      </c>
      <c r="J87" s="50">
        <f t="shared" si="26"/>
        <v>1088</v>
      </c>
      <c r="K87" s="43">
        <v>24</v>
      </c>
      <c r="L87" s="50">
        <f t="shared" si="27"/>
        <v>552</v>
      </c>
      <c r="M87" s="43">
        <v>12</v>
      </c>
      <c r="N87" s="50">
        <f t="shared" si="28"/>
        <v>288</v>
      </c>
      <c r="O87" s="26">
        <v>8</v>
      </c>
      <c r="P87" s="26">
        <f t="shared" si="29"/>
        <v>224</v>
      </c>
      <c r="Q87" s="72">
        <f t="shared" si="30"/>
        <v>108</v>
      </c>
      <c r="R87" s="73">
        <f t="shared" si="31"/>
        <v>8366.5</v>
      </c>
      <c r="T87" s="26"/>
      <c r="U87" s="26"/>
      <c r="V87" s="26"/>
      <c r="W87" s="26"/>
      <c r="X87" s="26"/>
    </row>
    <row r="88" spans="1:24" ht="14.25" customHeight="1" x14ac:dyDescent="0.2">
      <c r="A88" s="38" t="s">
        <v>53</v>
      </c>
      <c r="C88" s="39">
        <f>SUM(C85:C87)</f>
        <v>721620</v>
      </c>
      <c r="D88" s="40">
        <f>SUM(D85:D87)</f>
        <v>93810.6</v>
      </c>
      <c r="E88" s="20"/>
      <c r="F88" s="74">
        <f>SUM(F85:F87)</f>
        <v>16236.45</v>
      </c>
      <c r="G88" s="75"/>
      <c r="H88" s="56">
        <f>SUM(H85:H87)</f>
        <v>3330</v>
      </c>
      <c r="I88" s="76"/>
      <c r="J88" s="60">
        <f>SUM(J85:J87)</f>
        <v>2788</v>
      </c>
      <c r="K88" s="76"/>
      <c r="L88" s="60">
        <f>SUM(L85:L87)</f>
        <v>1288</v>
      </c>
      <c r="M88" s="76"/>
      <c r="N88" s="60">
        <f>SUM(N85:N87)</f>
        <v>864</v>
      </c>
      <c r="O88" s="77"/>
      <c r="P88" s="78">
        <f>SUM(P85:P87)</f>
        <v>784</v>
      </c>
      <c r="Q88" s="77"/>
      <c r="R88" s="79">
        <f>SUM(R85:R87)</f>
        <v>25290.45</v>
      </c>
      <c r="T88" s="26"/>
      <c r="U88" s="26"/>
      <c r="V88" s="26"/>
      <c r="W88" s="26"/>
      <c r="X88" s="26"/>
    </row>
    <row r="89" spans="1:24" ht="14.25" customHeight="1" x14ac:dyDescent="0.2">
      <c r="A89" s="34"/>
      <c r="C89" s="36"/>
      <c r="D89" s="37"/>
    </row>
    <row r="90" spans="1:24" ht="14.25" customHeight="1" x14ac:dyDescent="0.2">
      <c r="A90" s="47" t="s">
        <v>65</v>
      </c>
      <c r="C90" s="39"/>
      <c r="D90" s="40"/>
      <c r="F90" s="101" t="s">
        <v>66</v>
      </c>
      <c r="G90" s="102"/>
      <c r="H90" s="102"/>
      <c r="I90" s="102"/>
      <c r="J90" s="103"/>
    </row>
    <row r="91" spans="1:24" ht="22.5" x14ac:dyDescent="0.2">
      <c r="A91" s="34" t="s">
        <v>67</v>
      </c>
      <c r="C91" s="36">
        <v>5500</v>
      </c>
      <c r="D91" s="37">
        <f>C91*0.13</f>
        <v>715</v>
      </c>
      <c r="F91" s="81" t="s">
        <v>68</v>
      </c>
      <c r="G91" s="68" t="s">
        <v>69</v>
      </c>
      <c r="H91" s="68" t="s">
        <v>56</v>
      </c>
      <c r="I91" s="68" t="s">
        <v>70</v>
      </c>
      <c r="J91" s="69" t="s">
        <v>71</v>
      </c>
    </row>
    <row r="92" spans="1:24" ht="14.25" customHeight="1" x14ac:dyDescent="0.2">
      <c r="A92" s="34" t="s">
        <v>72</v>
      </c>
      <c r="C92" s="36">
        <f>50*24*3.8*1.35</f>
        <v>6156</v>
      </c>
      <c r="D92" s="37">
        <f>C92*0.13</f>
        <v>800.28</v>
      </c>
      <c r="F92" s="82">
        <f>(C85-250000)*0.2</f>
        <v>3924</v>
      </c>
      <c r="G92" s="83">
        <f>C85*0.1</f>
        <v>26962</v>
      </c>
      <c r="H92" s="83">
        <f>(C85+F92)*0.13</f>
        <v>35560.720000000001</v>
      </c>
      <c r="I92" s="84">
        <f>F92+H92</f>
        <v>39484.720000000001</v>
      </c>
      <c r="J92" s="91">
        <f>I92/C85</f>
        <v>0.14644581262517617</v>
      </c>
    </row>
    <row r="93" spans="1:24" ht="14.25" customHeight="1" x14ac:dyDescent="0.2">
      <c r="A93" s="34" t="s">
        <v>14</v>
      </c>
      <c r="C93" s="36">
        <f>C85*0.0085</f>
        <v>2291.77</v>
      </c>
      <c r="D93" s="37">
        <v>0</v>
      </c>
      <c r="F93" s="27"/>
      <c r="G93" s="27"/>
      <c r="H93" s="27"/>
      <c r="I93" s="27"/>
      <c r="J93" s="27"/>
    </row>
    <row r="94" spans="1:24" ht="14.25" customHeight="1" x14ac:dyDescent="0.2">
      <c r="A94" s="34" t="s">
        <v>73</v>
      </c>
      <c r="C94" s="36">
        <v>3500</v>
      </c>
      <c r="D94" s="37">
        <f>C94*0.13</f>
        <v>455</v>
      </c>
      <c r="F94" s="114" t="s">
        <v>74</v>
      </c>
      <c r="G94" s="115"/>
      <c r="H94" s="115"/>
      <c r="I94" s="115"/>
      <c r="J94" s="116"/>
    </row>
    <row r="95" spans="1:24" ht="14.25" customHeight="1" x14ac:dyDescent="0.2">
      <c r="A95" s="34" t="s">
        <v>75</v>
      </c>
      <c r="C95" s="36">
        <v>2000</v>
      </c>
      <c r="D95" s="37">
        <f>C95*0.13</f>
        <v>260</v>
      </c>
      <c r="F95" s="117" t="s">
        <v>76</v>
      </c>
      <c r="G95" s="118"/>
      <c r="H95" s="118"/>
      <c r="I95" s="48">
        <f>F92</f>
        <v>3924</v>
      </c>
      <c r="J95" s="49"/>
    </row>
    <row r="96" spans="1:24" ht="14.25" customHeight="1" x14ac:dyDescent="0.2">
      <c r="A96" s="34" t="s">
        <v>77</v>
      </c>
      <c r="C96" s="36">
        <v>1500</v>
      </c>
      <c r="D96" s="37">
        <f>C96*0.13</f>
        <v>195</v>
      </c>
      <c r="F96" s="112" t="s">
        <v>78</v>
      </c>
      <c r="G96" s="113"/>
      <c r="H96" s="113"/>
      <c r="I96" s="48">
        <f>H92-D85</f>
        <v>510.12000000000262</v>
      </c>
      <c r="J96" s="49"/>
    </row>
    <row r="97" spans="1:18" ht="14.25" customHeight="1" x14ac:dyDescent="0.2">
      <c r="A97" s="34" t="s">
        <v>79</v>
      </c>
      <c r="C97" s="36">
        <v>1500</v>
      </c>
      <c r="D97" s="37">
        <f>C97*0.13</f>
        <v>195</v>
      </c>
      <c r="F97" s="112" t="s">
        <v>80</v>
      </c>
      <c r="G97" s="113"/>
      <c r="H97" s="113"/>
      <c r="I97" s="50">
        <f>-D85</f>
        <v>-35050.6</v>
      </c>
      <c r="J97" s="51"/>
    </row>
    <row r="98" spans="1:18" ht="14.25" customHeight="1" x14ac:dyDescent="0.2">
      <c r="A98" s="34" t="s">
        <v>81</v>
      </c>
      <c r="C98" s="39">
        <f>SUM(C91:C97)</f>
        <v>22447.77</v>
      </c>
      <c r="D98" s="40">
        <f>SUM(D91:D97)</f>
        <v>2620.2799999999997</v>
      </c>
      <c r="F98" s="110" t="s">
        <v>82</v>
      </c>
      <c r="G98" s="111"/>
      <c r="H98" s="111"/>
      <c r="I98" s="44">
        <f>SUM(I95:I97)</f>
        <v>-30616.479999999996</v>
      </c>
      <c r="J98" s="51"/>
    </row>
    <row r="99" spans="1:18" ht="14.25" customHeight="1" x14ac:dyDescent="0.2">
      <c r="A99" s="34" t="s">
        <v>83</v>
      </c>
      <c r="C99" s="36">
        <v>10</v>
      </c>
      <c r="D99" s="37">
        <v>10</v>
      </c>
      <c r="F99" s="52" t="s">
        <v>84</v>
      </c>
      <c r="G99" s="53"/>
      <c r="H99" s="53"/>
      <c r="I99" s="50">
        <f>-SUM(D86:D87)</f>
        <v>-58760</v>
      </c>
      <c r="J99" s="51"/>
    </row>
    <row r="100" spans="1:18" ht="14.25" customHeight="1" x14ac:dyDescent="0.2">
      <c r="A100" s="34" t="s">
        <v>85</v>
      </c>
      <c r="C100" s="39">
        <f>C98*C99</f>
        <v>224477.7</v>
      </c>
      <c r="D100" s="40">
        <f>D98*D99</f>
        <v>26202.799999999996</v>
      </c>
      <c r="F100" s="52" t="s">
        <v>86</v>
      </c>
      <c r="G100" s="53"/>
      <c r="H100" s="53"/>
      <c r="I100" s="50">
        <f>-D100</f>
        <v>-26202.799999999996</v>
      </c>
      <c r="J100" s="51"/>
    </row>
    <row r="101" spans="1:18" ht="14.25" customHeight="1" x14ac:dyDescent="0.2">
      <c r="A101" s="54"/>
      <c r="B101" s="55"/>
      <c r="C101" s="56"/>
      <c r="D101" s="57"/>
      <c r="F101" s="58" t="s">
        <v>87</v>
      </c>
      <c r="G101" s="59"/>
      <c r="H101" s="59"/>
      <c r="I101" s="60">
        <f>SUM(I98:I100)</f>
        <v>-115579.28</v>
      </c>
      <c r="J101" s="61"/>
    </row>
    <row r="102" spans="1:18" ht="14.25" customHeight="1" thickBot="1" x14ac:dyDescent="0.25">
      <c r="A102" s="62"/>
      <c r="B102" s="63"/>
      <c r="C102" s="64"/>
      <c r="D102" s="64"/>
      <c r="E102" s="65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</row>
    <row r="103" spans="1:18" ht="13.5" thickTop="1" x14ac:dyDescent="0.2"/>
    <row r="104" spans="1:18" ht="14.25" customHeight="1" x14ac:dyDescent="0.2">
      <c r="A104" s="119" t="s">
        <v>97</v>
      </c>
      <c r="B104" s="119"/>
      <c r="C104" s="119"/>
      <c r="D104" s="119"/>
      <c r="E104" s="119"/>
      <c r="F104" s="119"/>
      <c r="G104" s="119"/>
      <c r="H104" s="26" t="s">
        <v>104</v>
      </c>
    </row>
    <row r="105" spans="1:18" ht="22.5" x14ac:dyDescent="0.2">
      <c r="A105" s="89" t="s">
        <v>55</v>
      </c>
      <c r="B105" s="68" t="s">
        <v>68</v>
      </c>
      <c r="C105" s="68" t="s">
        <v>69</v>
      </c>
      <c r="D105" s="68" t="s">
        <v>56</v>
      </c>
      <c r="F105" s="68" t="s">
        <v>70</v>
      </c>
      <c r="G105" s="68" t="s">
        <v>71</v>
      </c>
    </row>
    <row r="106" spans="1:18" x14ac:dyDescent="0.2">
      <c r="A106" s="25">
        <v>250000</v>
      </c>
      <c r="B106" s="25">
        <f>(A106-250000)*0.2</f>
        <v>0</v>
      </c>
      <c r="C106" s="25">
        <v>0</v>
      </c>
      <c r="D106" s="25">
        <f>A106*0.15</f>
        <v>37500</v>
      </c>
      <c r="E106" s="25"/>
      <c r="F106" s="25">
        <f>D106</f>
        <v>37500</v>
      </c>
      <c r="G106" s="90">
        <f>F106/A106</f>
        <v>0.15</v>
      </c>
    </row>
    <row r="107" spans="1:18" x14ac:dyDescent="0.2">
      <c r="A107" s="25">
        <v>300000</v>
      </c>
      <c r="B107" s="41">
        <f t="shared" ref="B107:B141" si="32">(A107-250000)*0.2</f>
        <v>10000</v>
      </c>
      <c r="C107" s="25">
        <f>A107*0.1</f>
        <v>30000</v>
      </c>
      <c r="D107" s="25">
        <f t="shared" ref="D107:D144" si="33">A107*0.15</f>
        <v>45000</v>
      </c>
      <c r="E107" s="25"/>
      <c r="F107" s="25">
        <f>B107+D107</f>
        <v>55000</v>
      </c>
      <c r="G107" s="90">
        <f>F107/A107</f>
        <v>0.18333333333333332</v>
      </c>
    </row>
    <row r="108" spans="1:18" x14ac:dyDescent="0.2">
      <c r="A108" s="25">
        <v>350000</v>
      </c>
      <c r="B108" s="41">
        <f t="shared" si="32"/>
        <v>20000</v>
      </c>
      <c r="C108" s="25">
        <f t="shared" ref="C108:C141" si="34">A108*0.1</f>
        <v>35000</v>
      </c>
      <c r="D108" s="25">
        <f t="shared" si="33"/>
        <v>52500</v>
      </c>
      <c r="E108" s="25"/>
      <c r="F108" s="25">
        <f t="shared" ref="F108:F111" si="35">B108+D108</f>
        <v>72500</v>
      </c>
      <c r="G108" s="90">
        <f t="shared" ref="G108:G141" si="36">F108/A108</f>
        <v>0.20714285714285716</v>
      </c>
    </row>
    <row r="109" spans="1:18" x14ac:dyDescent="0.2">
      <c r="A109" s="25">
        <v>400000</v>
      </c>
      <c r="B109" s="41">
        <f t="shared" si="32"/>
        <v>30000</v>
      </c>
      <c r="C109" s="25">
        <f t="shared" si="34"/>
        <v>40000</v>
      </c>
      <c r="D109" s="25">
        <f t="shared" si="33"/>
        <v>60000</v>
      </c>
      <c r="E109" s="25"/>
      <c r="F109" s="25">
        <f t="shared" si="35"/>
        <v>90000</v>
      </c>
      <c r="G109" s="90">
        <f t="shared" si="36"/>
        <v>0.22500000000000001</v>
      </c>
    </row>
    <row r="110" spans="1:18" x14ac:dyDescent="0.2">
      <c r="A110" s="25">
        <v>450000</v>
      </c>
      <c r="B110" s="41">
        <f t="shared" si="32"/>
        <v>40000</v>
      </c>
      <c r="C110" s="25">
        <f t="shared" si="34"/>
        <v>45000</v>
      </c>
      <c r="D110" s="25">
        <f t="shared" si="33"/>
        <v>67500</v>
      </c>
      <c r="E110" s="25"/>
      <c r="F110" s="25">
        <f t="shared" si="35"/>
        <v>107500</v>
      </c>
      <c r="G110" s="90">
        <f t="shared" si="36"/>
        <v>0.2388888888888889</v>
      </c>
    </row>
    <row r="111" spans="1:18" x14ac:dyDescent="0.2">
      <c r="A111" s="25">
        <v>500000</v>
      </c>
      <c r="B111" s="25">
        <f t="shared" si="32"/>
        <v>50000</v>
      </c>
      <c r="C111" s="41">
        <f t="shared" si="34"/>
        <v>50000</v>
      </c>
      <c r="D111" s="25">
        <f t="shared" si="33"/>
        <v>75000</v>
      </c>
      <c r="E111" s="25"/>
      <c r="F111" s="25">
        <f t="shared" si="35"/>
        <v>125000</v>
      </c>
      <c r="G111" s="90">
        <f t="shared" si="36"/>
        <v>0.25</v>
      </c>
    </row>
    <row r="112" spans="1:18" x14ac:dyDescent="0.2">
      <c r="A112" s="25">
        <v>550000</v>
      </c>
      <c r="B112" s="25">
        <f t="shared" si="32"/>
        <v>60000</v>
      </c>
      <c r="C112" s="41">
        <f t="shared" si="34"/>
        <v>55000</v>
      </c>
      <c r="D112" s="25">
        <f t="shared" si="33"/>
        <v>82500</v>
      </c>
      <c r="E112" s="25"/>
      <c r="F112" s="25">
        <f>C112+D112</f>
        <v>137500</v>
      </c>
      <c r="G112" s="90">
        <f t="shared" si="36"/>
        <v>0.25</v>
      </c>
    </row>
    <row r="113" spans="1:7" x14ac:dyDescent="0.2">
      <c r="A113" s="25">
        <v>600000</v>
      </c>
      <c r="B113" s="25">
        <f t="shared" si="32"/>
        <v>70000</v>
      </c>
      <c r="C113" s="41">
        <f t="shared" si="34"/>
        <v>60000</v>
      </c>
      <c r="D113" s="25">
        <f t="shared" si="33"/>
        <v>90000</v>
      </c>
      <c r="E113" s="25"/>
      <c r="F113" s="25">
        <f t="shared" ref="F113:F141" si="37">C113+D113</f>
        <v>150000</v>
      </c>
      <c r="G113" s="90">
        <f t="shared" si="36"/>
        <v>0.25</v>
      </c>
    </row>
    <row r="114" spans="1:7" x14ac:dyDescent="0.2">
      <c r="A114" s="25">
        <v>650000</v>
      </c>
      <c r="B114" s="25">
        <f t="shared" si="32"/>
        <v>80000</v>
      </c>
      <c r="C114" s="41">
        <f t="shared" si="34"/>
        <v>65000</v>
      </c>
      <c r="D114" s="25">
        <f t="shared" si="33"/>
        <v>97500</v>
      </c>
      <c r="E114" s="25"/>
      <c r="F114" s="25">
        <f t="shared" si="37"/>
        <v>162500</v>
      </c>
      <c r="G114" s="90">
        <f t="shared" si="36"/>
        <v>0.25</v>
      </c>
    </row>
    <row r="115" spans="1:7" x14ac:dyDescent="0.2">
      <c r="A115" s="25">
        <v>700000</v>
      </c>
      <c r="B115" s="25">
        <f t="shared" si="32"/>
        <v>90000</v>
      </c>
      <c r="C115" s="41">
        <f t="shared" si="34"/>
        <v>70000</v>
      </c>
      <c r="D115" s="25">
        <f t="shared" si="33"/>
        <v>105000</v>
      </c>
      <c r="E115" s="25"/>
      <c r="F115" s="25">
        <f t="shared" si="37"/>
        <v>175000</v>
      </c>
      <c r="G115" s="90">
        <f t="shared" si="36"/>
        <v>0.25</v>
      </c>
    </row>
    <row r="116" spans="1:7" x14ac:dyDescent="0.2">
      <c r="A116" s="25">
        <v>750000</v>
      </c>
      <c r="B116" s="25">
        <f t="shared" si="32"/>
        <v>100000</v>
      </c>
      <c r="C116" s="41">
        <f t="shared" si="34"/>
        <v>75000</v>
      </c>
      <c r="D116" s="25">
        <f t="shared" si="33"/>
        <v>112500</v>
      </c>
      <c r="E116" s="25"/>
      <c r="F116" s="25">
        <f t="shared" si="37"/>
        <v>187500</v>
      </c>
      <c r="G116" s="90">
        <f t="shared" si="36"/>
        <v>0.25</v>
      </c>
    </row>
    <row r="117" spans="1:7" x14ac:dyDescent="0.2">
      <c r="A117" s="25">
        <v>800000</v>
      </c>
      <c r="B117" s="25">
        <f t="shared" si="32"/>
        <v>110000</v>
      </c>
      <c r="C117" s="41">
        <f t="shared" si="34"/>
        <v>80000</v>
      </c>
      <c r="D117" s="25">
        <f t="shared" si="33"/>
        <v>120000</v>
      </c>
      <c r="E117" s="25"/>
      <c r="F117" s="25">
        <f t="shared" si="37"/>
        <v>200000</v>
      </c>
      <c r="G117" s="90">
        <f t="shared" si="36"/>
        <v>0.25</v>
      </c>
    </row>
    <row r="118" spans="1:7" x14ac:dyDescent="0.2">
      <c r="A118" s="25">
        <v>850000</v>
      </c>
      <c r="B118" s="25">
        <f t="shared" si="32"/>
        <v>120000</v>
      </c>
      <c r="C118" s="41">
        <f t="shared" si="34"/>
        <v>85000</v>
      </c>
      <c r="D118" s="25">
        <f t="shared" si="33"/>
        <v>127500</v>
      </c>
      <c r="E118" s="25"/>
      <c r="F118" s="25">
        <f t="shared" si="37"/>
        <v>212500</v>
      </c>
      <c r="G118" s="90">
        <f t="shared" si="36"/>
        <v>0.25</v>
      </c>
    </row>
    <row r="119" spans="1:7" x14ac:dyDescent="0.2">
      <c r="A119" s="25">
        <v>900000</v>
      </c>
      <c r="B119" s="25">
        <f t="shared" si="32"/>
        <v>130000</v>
      </c>
      <c r="C119" s="41">
        <f t="shared" si="34"/>
        <v>90000</v>
      </c>
      <c r="D119" s="25">
        <f t="shared" si="33"/>
        <v>135000</v>
      </c>
      <c r="E119" s="25"/>
      <c r="F119" s="25">
        <f t="shared" si="37"/>
        <v>225000</v>
      </c>
      <c r="G119" s="90">
        <f t="shared" si="36"/>
        <v>0.25</v>
      </c>
    </row>
    <row r="120" spans="1:7" x14ac:dyDescent="0.2">
      <c r="A120" s="25">
        <v>950000</v>
      </c>
      <c r="B120" s="25">
        <f t="shared" si="32"/>
        <v>140000</v>
      </c>
      <c r="C120" s="41">
        <f t="shared" si="34"/>
        <v>95000</v>
      </c>
      <c r="D120" s="25">
        <f t="shared" si="33"/>
        <v>142500</v>
      </c>
      <c r="E120" s="25"/>
      <c r="F120" s="25">
        <f t="shared" si="37"/>
        <v>237500</v>
      </c>
      <c r="G120" s="90">
        <f t="shared" si="36"/>
        <v>0.25</v>
      </c>
    </row>
    <row r="121" spans="1:7" x14ac:dyDescent="0.2">
      <c r="A121" s="25">
        <v>1000000</v>
      </c>
      <c r="B121" s="25">
        <f t="shared" si="32"/>
        <v>150000</v>
      </c>
      <c r="C121" s="41">
        <f t="shared" si="34"/>
        <v>100000</v>
      </c>
      <c r="D121" s="25">
        <f t="shared" si="33"/>
        <v>150000</v>
      </c>
      <c r="E121" s="25"/>
      <c r="F121" s="25">
        <f t="shared" si="37"/>
        <v>250000</v>
      </c>
      <c r="G121" s="90">
        <f t="shared" si="36"/>
        <v>0.25</v>
      </c>
    </row>
    <row r="122" spans="1:7" x14ac:dyDescent="0.2">
      <c r="A122" s="25">
        <v>1050000</v>
      </c>
      <c r="B122" s="25">
        <f t="shared" si="32"/>
        <v>160000</v>
      </c>
      <c r="C122" s="41">
        <f t="shared" si="34"/>
        <v>105000</v>
      </c>
      <c r="D122" s="25">
        <f t="shared" si="33"/>
        <v>157500</v>
      </c>
      <c r="E122" s="25"/>
      <c r="F122" s="25">
        <f t="shared" si="37"/>
        <v>262500</v>
      </c>
      <c r="G122" s="90">
        <f t="shared" si="36"/>
        <v>0.25</v>
      </c>
    </row>
    <row r="123" spans="1:7" x14ac:dyDescent="0.2">
      <c r="A123" s="25">
        <v>1100000</v>
      </c>
      <c r="B123" s="25">
        <f t="shared" si="32"/>
        <v>170000</v>
      </c>
      <c r="C123" s="41">
        <f t="shared" si="34"/>
        <v>110000</v>
      </c>
      <c r="D123" s="25">
        <f t="shared" si="33"/>
        <v>165000</v>
      </c>
      <c r="E123" s="25"/>
      <c r="F123" s="25">
        <f t="shared" si="37"/>
        <v>275000</v>
      </c>
      <c r="G123" s="90">
        <f t="shared" si="36"/>
        <v>0.25</v>
      </c>
    </row>
    <row r="124" spans="1:7" x14ac:dyDescent="0.2">
      <c r="A124" s="25">
        <v>1150000</v>
      </c>
      <c r="B124" s="25">
        <f t="shared" si="32"/>
        <v>180000</v>
      </c>
      <c r="C124" s="41">
        <f t="shared" si="34"/>
        <v>115000</v>
      </c>
      <c r="D124" s="25">
        <f t="shared" si="33"/>
        <v>172500</v>
      </c>
      <c r="E124" s="25"/>
      <c r="F124" s="25">
        <f t="shared" si="37"/>
        <v>287500</v>
      </c>
      <c r="G124" s="90">
        <f t="shared" si="36"/>
        <v>0.25</v>
      </c>
    </row>
    <row r="125" spans="1:7" x14ac:dyDescent="0.2">
      <c r="A125" s="25">
        <v>1200000</v>
      </c>
      <c r="B125" s="25">
        <f t="shared" si="32"/>
        <v>190000</v>
      </c>
      <c r="C125" s="41">
        <f t="shared" si="34"/>
        <v>120000</v>
      </c>
      <c r="D125" s="25">
        <f t="shared" si="33"/>
        <v>180000</v>
      </c>
      <c r="E125" s="25"/>
      <c r="F125" s="25">
        <f t="shared" si="37"/>
        <v>300000</v>
      </c>
      <c r="G125" s="90">
        <f t="shared" si="36"/>
        <v>0.25</v>
      </c>
    </row>
    <row r="126" spans="1:7" x14ac:dyDescent="0.2">
      <c r="A126" s="25">
        <v>1250000</v>
      </c>
      <c r="B126" s="25">
        <f t="shared" si="32"/>
        <v>200000</v>
      </c>
      <c r="C126" s="41">
        <f t="shared" si="34"/>
        <v>125000</v>
      </c>
      <c r="D126" s="25">
        <f t="shared" si="33"/>
        <v>187500</v>
      </c>
      <c r="E126" s="25"/>
      <c r="F126" s="25">
        <f t="shared" si="37"/>
        <v>312500</v>
      </c>
      <c r="G126" s="90">
        <f t="shared" si="36"/>
        <v>0.25</v>
      </c>
    </row>
    <row r="127" spans="1:7" x14ac:dyDescent="0.2">
      <c r="A127" s="25">
        <v>1300000</v>
      </c>
      <c r="B127" s="25">
        <f t="shared" si="32"/>
        <v>210000</v>
      </c>
      <c r="C127" s="41">
        <f t="shared" si="34"/>
        <v>130000</v>
      </c>
      <c r="D127" s="25">
        <f t="shared" si="33"/>
        <v>195000</v>
      </c>
      <c r="E127" s="25"/>
      <c r="F127" s="25">
        <f t="shared" si="37"/>
        <v>325000</v>
      </c>
      <c r="G127" s="90">
        <f t="shared" si="36"/>
        <v>0.25</v>
      </c>
    </row>
    <row r="128" spans="1:7" x14ac:dyDescent="0.2">
      <c r="A128" s="25">
        <v>1350000</v>
      </c>
      <c r="B128" s="25">
        <f t="shared" si="32"/>
        <v>220000</v>
      </c>
      <c r="C128" s="41">
        <f t="shared" si="34"/>
        <v>135000</v>
      </c>
      <c r="D128" s="25">
        <f t="shared" si="33"/>
        <v>202500</v>
      </c>
      <c r="E128" s="25"/>
      <c r="F128" s="25">
        <f t="shared" si="37"/>
        <v>337500</v>
      </c>
      <c r="G128" s="90">
        <f t="shared" si="36"/>
        <v>0.25</v>
      </c>
    </row>
    <row r="129" spans="1:7" x14ac:dyDescent="0.2">
      <c r="A129" s="25">
        <v>1400000</v>
      </c>
      <c r="B129" s="25">
        <f t="shared" si="32"/>
        <v>230000</v>
      </c>
      <c r="C129" s="41">
        <f t="shared" si="34"/>
        <v>140000</v>
      </c>
      <c r="D129" s="25">
        <f t="shared" si="33"/>
        <v>210000</v>
      </c>
      <c r="E129" s="25"/>
      <c r="F129" s="25">
        <f t="shared" si="37"/>
        <v>350000</v>
      </c>
      <c r="G129" s="90">
        <f t="shared" si="36"/>
        <v>0.25</v>
      </c>
    </row>
    <row r="130" spans="1:7" x14ac:dyDescent="0.2">
      <c r="A130" s="25">
        <v>1450000</v>
      </c>
      <c r="B130" s="25">
        <f t="shared" si="32"/>
        <v>240000</v>
      </c>
      <c r="C130" s="41">
        <f t="shared" si="34"/>
        <v>145000</v>
      </c>
      <c r="D130" s="25">
        <f t="shared" si="33"/>
        <v>217500</v>
      </c>
      <c r="E130" s="25"/>
      <c r="F130" s="25">
        <f t="shared" si="37"/>
        <v>362500</v>
      </c>
      <c r="G130" s="90">
        <f t="shared" si="36"/>
        <v>0.25</v>
      </c>
    </row>
    <row r="131" spans="1:7" x14ac:dyDescent="0.2">
      <c r="A131" s="25">
        <v>1500000</v>
      </c>
      <c r="B131" s="25">
        <f t="shared" si="32"/>
        <v>250000</v>
      </c>
      <c r="C131" s="41">
        <f t="shared" si="34"/>
        <v>150000</v>
      </c>
      <c r="D131" s="25">
        <f t="shared" si="33"/>
        <v>225000</v>
      </c>
      <c r="E131" s="25"/>
      <c r="F131" s="25">
        <f t="shared" si="37"/>
        <v>375000</v>
      </c>
      <c r="G131" s="90">
        <f t="shared" si="36"/>
        <v>0.25</v>
      </c>
    </row>
    <row r="132" spans="1:7" x14ac:dyDescent="0.2">
      <c r="A132" s="25">
        <v>1550000</v>
      </c>
      <c r="B132" s="25">
        <f t="shared" si="32"/>
        <v>260000</v>
      </c>
      <c r="C132" s="41">
        <f t="shared" si="34"/>
        <v>155000</v>
      </c>
      <c r="D132" s="25">
        <f t="shared" si="33"/>
        <v>232500</v>
      </c>
      <c r="E132" s="25"/>
      <c r="F132" s="25">
        <f t="shared" si="37"/>
        <v>387500</v>
      </c>
      <c r="G132" s="90">
        <f t="shared" si="36"/>
        <v>0.25</v>
      </c>
    </row>
    <row r="133" spans="1:7" x14ac:dyDescent="0.2">
      <c r="A133" s="25">
        <v>1600000</v>
      </c>
      <c r="B133" s="25">
        <f t="shared" si="32"/>
        <v>270000</v>
      </c>
      <c r="C133" s="41">
        <f t="shared" si="34"/>
        <v>160000</v>
      </c>
      <c r="D133" s="25">
        <f t="shared" si="33"/>
        <v>240000</v>
      </c>
      <c r="E133" s="25"/>
      <c r="F133" s="25">
        <f t="shared" si="37"/>
        <v>400000</v>
      </c>
      <c r="G133" s="90">
        <f t="shared" si="36"/>
        <v>0.25</v>
      </c>
    </row>
    <row r="134" spans="1:7" x14ac:dyDescent="0.2">
      <c r="A134" s="25">
        <v>1650000</v>
      </c>
      <c r="B134" s="25">
        <f t="shared" si="32"/>
        <v>280000</v>
      </c>
      <c r="C134" s="41">
        <f t="shared" si="34"/>
        <v>165000</v>
      </c>
      <c r="D134" s="25">
        <f t="shared" si="33"/>
        <v>247500</v>
      </c>
      <c r="E134" s="25"/>
      <c r="F134" s="25">
        <f t="shared" si="37"/>
        <v>412500</v>
      </c>
      <c r="G134" s="90">
        <f t="shared" si="36"/>
        <v>0.25</v>
      </c>
    </row>
    <row r="135" spans="1:7" x14ac:dyDescent="0.2">
      <c r="A135" s="25">
        <v>1700000</v>
      </c>
      <c r="B135" s="25">
        <f t="shared" si="32"/>
        <v>290000</v>
      </c>
      <c r="C135" s="41">
        <f t="shared" si="34"/>
        <v>170000</v>
      </c>
      <c r="D135" s="25">
        <f t="shared" si="33"/>
        <v>255000</v>
      </c>
      <c r="E135" s="25"/>
      <c r="F135" s="25">
        <f t="shared" si="37"/>
        <v>425000</v>
      </c>
      <c r="G135" s="90">
        <f t="shared" si="36"/>
        <v>0.25</v>
      </c>
    </row>
    <row r="136" spans="1:7" x14ac:dyDescent="0.2">
      <c r="A136" s="25">
        <v>1750000</v>
      </c>
      <c r="B136" s="25">
        <f t="shared" si="32"/>
        <v>300000</v>
      </c>
      <c r="C136" s="41">
        <f t="shared" si="34"/>
        <v>175000</v>
      </c>
      <c r="D136" s="25">
        <f t="shared" si="33"/>
        <v>262500</v>
      </c>
      <c r="E136" s="25"/>
      <c r="F136" s="25">
        <f t="shared" si="37"/>
        <v>437500</v>
      </c>
      <c r="G136" s="90">
        <f t="shared" si="36"/>
        <v>0.25</v>
      </c>
    </row>
    <row r="137" spans="1:7" x14ac:dyDescent="0.2">
      <c r="A137" s="25">
        <v>1800000</v>
      </c>
      <c r="B137" s="25">
        <f t="shared" si="32"/>
        <v>310000</v>
      </c>
      <c r="C137" s="41">
        <f t="shared" si="34"/>
        <v>180000</v>
      </c>
      <c r="D137" s="25">
        <f t="shared" si="33"/>
        <v>270000</v>
      </c>
      <c r="E137" s="25"/>
      <c r="F137" s="25">
        <f t="shared" si="37"/>
        <v>450000</v>
      </c>
      <c r="G137" s="90">
        <f t="shared" si="36"/>
        <v>0.25</v>
      </c>
    </row>
    <row r="138" spans="1:7" x14ac:dyDescent="0.2">
      <c r="A138" s="25">
        <v>1850000</v>
      </c>
      <c r="B138" s="25">
        <f t="shared" si="32"/>
        <v>320000</v>
      </c>
      <c r="C138" s="41">
        <f t="shared" si="34"/>
        <v>185000</v>
      </c>
      <c r="D138" s="25">
        <f t="shared" si="33"/>
        <v>277500</v>
      </c>
      <c r="E138" s="25"/>
      <c r="F138" s="25">
        <f t="shared" si="37"/>
        <v>462500</v>
      </c>
      <c r="G138" s="90">
        <f t="shared" si="36"/>
        <v>0.25</v>
      </c>
    </row>
    <row r="139" spans="1:7" x14ac:dyDescent="0.2">
      <c r="A139" s="25">
        <v>1900000</v>
      </c>
      <c r="B139" s="25">
        <f t="shared" si="32"/>
        <v>330000</v>
      </c>
      <c r="C139" s="41">
        <f t="shared" si="34"/>
        <v>190000</v>
      </c>
      <c r="D139" s="25">
        <f t="shared" si="33"/>
        <v>285000</v>
      </c>
      <c r="E139" s="25"/>
      <c r="F139" s="25">
        <f t="shared" si="37"/>
        <v>475000</v>
      </c>
      <c r="G139" s="90">
        <f t="shared" si="36"/>
        <v>0.25</v>
      </c>
    </row>
    <row r="140" spans="1:7" x14ac:dyDescent="0.2">
      <c r="A140" s="25">
        <v>1950000</v>
      </c>
      <c r="B140" s="25">
        <f t="shared" si="32"/>
        <v>340000</v>
      </c>
      <c r="C140" s="41">
        <f t="shared" si="34"/>
        <v>195000</v>
      </c>
      <c r="D140" s="25">
        <f t="shared" si="33"/>
        <v>292500</v>
      </c>
      <c r="E140" s="25"/>
      <c r="F140" s="25">
        <f t="shared" si="37"/>
        <v>487500</v>
      </c>
      <c r="G140" s="90">
        <f t="shared" si="36"/>
        <v>0.25</v>
      </c>
    </row>
    <row r="141" spans="1:7" x14ac:dyDescent="0.2">
      <c r="A141" s="25">
        <v>2000000</v>
      </c>
      <c r="B141" s="25">
        <f t="shared" si="32"/>
        <v>350000</v>
      </c>
      <c r="C141" s="41">
        <f t="shared" si="34"/>
        <v>200000</v>
      </c>
      <c r="D141" s="25">
        <f t="shared" si="33"/>
        <v>300000</v>
      </c>
      <c r="E141" s="25"/>
      <c r="F141" s="25">
        <f t="shared" si="37"/>
        <v>500000</v>
      </c>
      <c r="G141" s="90">
        <f t="shared" si="36"/>
        <v>0.25</v>
      </c>
    </row>
    <row r="142" spans="1:7" x14ac:dyDescent="0.2">
      <c r="D142" s="25">
        <f t="shared" si="33"/>
        <v>0</v>
      </c>
    </row>
    <row r="143" spans="1:7" x14ac:dyDescent="0.2">
      <c r="D143" s="25">
        <f t="shared" si="33"/>
        <v>0</v>
      </c>
    </row>
    <row r="144" spans="1:7" x14ac:dyDescent="0.2">
      <c r="D144" s="25">
        <f t="shared" si="33"/>
        <v>0</v>
      </c>
    </row>
  </sheetData>
  <mergeCells count="63">
    <mergeCell ref="A104:G104"/>
    <mergeCell ref="F94:J94"/>
    <mergeCell ref="F95:H95"/>
    <mergeCell ref="F96:H96"/>
    <mergeCell ref="F97:H97"/>
    <mergeCell ref="F98:H98"/>
    <mergeCell ref="Q83:R83"/>
    <mergeCell ref="F90:J90"/>
    <mergeCell ref="F17:J17"/>
    <mergeCell ref="F18:H18"/>
    <mergeCell ref="F19:H19"/>
    <mergeCell ref="F20:H20"/>
    <mergeCell ref="F21:H21"/>
    <mergeCell ref="F43:J43"/>
    <mergeCell ref="F44:H44"/>
    <mergeCell ref="F45:H45"/>
    <mergeCell ref="O83:P83"/>
    <mergeCell ref="F39:J39"/>
    <mergeCell ref="F46:H46"/>
    <mergeCell ref="F47:H47"/>
    <mergeCell ref="F68:J68"/>
    <mergeCell ref="F69:H69"/>
    <mergeCell ref="A83:B83"/>
    <mergeCell ref="G83:H83"/>
    <mergeCell ref="I83:J83"/>
    <mergeCell ref="K83:L83"/>
    <mergeCell ref="M83:N83"/>
    <mergeCell ref="A57:B57"/>
    <mergeCell ref="F56:R56"/>
    <mergeCell ref="F64:J64"/>
    <mergeCell ref="F82:R82"/>
    <mergeCell ref="F72:H72"/>
    <mergeCell ref="Q57:R57"/>
    <mergeCell ref="O57:P57"/>
    <mergeCell ref="M57:N57"/>
    <mergeCell ref="K57:L57"/>
    <mergeCell ref="I57:J57"/>
    <mergeCell ref="G57:H57"/>
    <mergeCell ref="A56:D56"/>
    <mergeCell ref="A82:D82"/>
    <mergeCell ref="F71:H71"/>
    <mergeCell ref="F70:H70"/>
    <mergeCell ref="A2:C2"/>
    <mergeCell ref="O6:P6"/>
    <mergeCell ref="F31:R31"/>
    <mergeCell ref="A32:B32"/>
    <mergeCell ref="G32:H32"/>
    <mergeCell ref="I32:J32"/>
    <mergeCell ref="K32:L32"/>
    <mergeCell ref="M32:N32"/>
    <mergeCell ref="O32:P32"/>
    <mergeCell ref="Q32:R32"/>
    <mergeCell ref="A31:D31"/>
    <mergeCell ref="F5:R5"/>
    <mergeCell ref="A5:D5"/>
    <mergeCell ref="K6:L6"/>
    <mergeCell ref="M6:N6"/>
    <mergeCell ref="A3:C3"/>
    <mergeCell ref="Q6:R6"/>
    <mergeCell ref="A6:B6"/>
    <mergeCell ref="F13:J13"/>
    <mergeCell ref="G6:H6"/>
    <mergeCell ref="I6:J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302EDCC80ED74D949A75B9C3CAAE70" ma:contentTypeVersion="13" ma:contentTypeDescription="Create a new document." ma:contentTypeScope="" ma:versionID="9ca18577fb45870e47006b48adb61c78">
  <xsd:schema xmlns:xsd="http://www.w3.org/2001/XMLSchema" xmlns:xs="http://www.w3.org/2001/XMLSchema" xmlns:p="http://schemas.microsoft.com/office/2006/metadata/properties" xmlns:ns2="e0e0db40-dc5e-410d-a547-6b234b36141e" xmlns:ns3="d08bb1dc-7060-4a76-883f-76d89ee4ee9d" targetNamespace="http://schemas.microsoft.com/office/2006/metadata/properties" ma:root="true" ma:fieldsID="48d7974985ff3f487acfd35ff236961a" ns2:_="" ns3:_="">
    <xsd:import namespace="e0e0db40-dc5e-410d-a547-6b234b36141e"/>
    <xsd:import namespace="d08bb1dc-7060-4a76-883f-76d89ee4ee9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e0db40-dc5e-410d-a547-6b234b36141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8bb1dc-7060-4a76-883f-76d89ee4ee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82E310-AAD3-4B62-8FB4-F0B205DC7A3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A68EB6C-E2D8-4483-8D7A-50AF5814B9C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A5EB5F7-B04B-44CE-A139-CF9B4DC52D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e0db40-dc5e-410d-a547-6b234b36141e"/>
    <ds:schemaRef ds:uri="d08bb1dc-7060-4a76-883f-76d89ee4ee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Dufour 430</vt:lpstr>
      <vt:lpstr>280 Outrage</vt:lpstr>
      <vt:lpstr>32 SeaRay</vt:lpstr>
      <vt:lpstr>50 Azimut</vt:lpstr>
      <vt:lpstr>Data summary</vt:lpstr>
      <vt:lpstr>Actual Case Studies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Rick Layzell</dc:creator>
  <cp:keywords/>
  <dc:description/>
  <cp:lastModifiedBy>Patricia Nelder</cp:lastModifiedBy>
  <cp:revision/>
  <dcterms:created xsi:type="dcterms:W3CDTF">2021-04-27T14:38:42Z</dcterms:created>
  <dcterms:modified xsi:type="dcterms:W3CDTF">2021-05-10T14:19:03Z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0x01010055302EDCC80ED74D949A75B9C3CAAE70</vt:lpwstr>
  </property>
</Properties>
</file>